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trlProps/ctrlProp6.xml" ContentType="application/vnd.ms-excel.controlproperties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Corporate Files\Website New\resource\"/>
    </mc:Choice>
  </mc:AlternateContent>
  <xr:revisionPtr revIDLastSave="0" documentId="13_ncr:1_{545B6528-CC25-4B7D-895E-525B6D3B4952}" xr6:coauthVersionLast="47" xr6:coauthVersionMax="47" xr10:uidLastSave="{00000000-0000-0000-0000-000000000000}"/>
  <bookViews>
    <workbookView xWindow="28680" yWindow="-120" windowWidth="29040" windowHeight="16440" activeTab="1" xr2:uid="{00000000-000D-0000-FFFF-FFFF00000000}"/>
  </bookViews>
  <sheets>
    <sheet name="Notch Filter Design" sheetId="9" r:id="rId1"/>
    <sheet name="High-Pass Filter Design" sheetId="2" r:id="rId2"/>
    <sheet name="C-High-Pass Filter Design" sheetId="3" r:id="rId3"/>
    <sheet name="Notch Filter Delta Connection" sheetId="8" r:id="rId4"/>
    <sheet name="Shunt Reactor" sheetId="5" r:id="rId5"/>
    <sheet name="All PowerFactory Filters" sheetId="10" r:id="rId6"/>
  </sheets>
  <externalReferences>
    <externalReference r:id="rId7"/>
  </externalReferences>
  <definedNames>
    <definedName name="capacitordutyrating" localSheetId="0">'Notch Filter Design'!$BE$1:$BE$3</definedName>
    <definedName name="capacitordutyrating">#REF!</definedName>
    <definedName name="capacitordutyrating1">'[1]Notch Filter, 2 MVAR'!$BE$1:$BE$3</definedName>
    <definedName name="filterimpedance" localSheetId="0">'Notch Filter Design'!$AZ$3:$BA$249</definedName>
    <definedName name="filterimpedance">#REF!</definedName>
    <definedName name="filterimpedancechp" localSheetId="0">'[1]C-High-Pass Filter Design'!$AZ$3:$BA$250</definedName>
    <definedName name="filterimpedancechp">'C-High-Pass Filter Design'!$AZ$3:$BA$250</definedName>
    <definedName name="filterimpedancehp" localSheetId="0">'[1]High-Pass Filter Design'!$AZ$3:$BA$249</definedName>
    <definedName name="filterimpedancehp">'High-Pass Filter Design'!$AZ$3:$BA$249</definedName>
    <definedName name="_xlnm.Print_Area" localSheetId="2">'C-High-Pass Filter Design'!$A$1:$L$189</definedName>
    <definedName name="_xlnm.Print_Area" localSheetId="1">'High-Pass Filter Design'!$B$1:$L$188</definedName>
    <definedName name="_xlnm.Print_Area" localSheetId="3">'Notch Filter Delta Connection'!$B$1:$L$189</definedName>
    <definedName name="_xlnm.Print_Area" localSheetId="0">'Notch Filter Design'!$B$1:$L$188</definedName>
    <definedName name="_xlnm.Print_Area" localSheetId="4">'Shunt Reactor'!$B$1:$L$66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4" i="3" l="1"/>
  <c r="AC25" i="3"/>
  <c r="AC23" i="3"/>
  <c r="X14" i="2"/>
  <c r="Z32" i="3"/>
  <c r="Z33" i="3" s="1"/>
  <c r="Z25" i="3"/>
  <c r="Z26" i="3" s="1"/>
  <c r="AB32" i="9"/>
  <c r="Y33" i="9"/>
  <c r="Y34" i="9" s="1"/>
  <c r="AA32" i="2"/>
  <c r="X33" i="2"/>
  <c r="X34" i="2" s="1"/>
  <c r="AA14" i="2" l="1"/>
  <c r="AS249" i="9" l="1"/>
  <c r="AS248" i="9"/>
  <c r="AS247" i="9"/>
  <c r="AS246" i="9"/>
  <c r="AS245" i="9"/>
  <c r="AS244" i="9"/>
  <c r="AS243" i="9"/>
  <c r="AS242" i="9"/>
  <c r="AS241" i="9"/>
  <c r="AS240" i="9"/>
  <c r="AS239" i="9"/>
  <c r="AS238" i="9"/>
  <c r="AS237" i="9"/>
  <c r="AS236" i="9"/>
  <c r="AS235" i="9"/>
  <c r="AS234" i="9"/>
  <c r="AS233" i="9"/>
  <c r="AS232" i="9"/>
  <c r="AS231" i="9"/>
  <c r="AS230" i="9"/>
  <c r="AS229" i="9"/>
  <c r="AS228" i="9"/>
  <c r="AS227" i="9"/>
  <c r="AS226" i="9"/>
  <c r="AS225" i="9"/>
  <c r="AS224" i="9"/>
  <c r="AS223" i="9"/>
  <c r="AS222" i="9"/>
  <c r="AS221" i="9"/>
  <c r="AS220" i="9"/>
  <c r="AS219" i="9"/>
  <c r="AS218" i="9"/>
  <c r="AS217" i="9"/>
  <c r="AS216" i="9"/>
  <c r="AS215" i="9"/>
  <c r="AS214" i="9"/>
  <c r="AS213" i="9"/>
  <c r="AS212" i="9"/>
  <c r="AS211" i="9"/>
  <c r="AS210" i="9"/>
  <c r="AS209" i="9"/>
  <c r="AS208" i="9"/>
  <c r="AS207" i="9"/>
  <c r="AS206" i="9"/>
  <c r="AS205" i="9"/>
  <c r="AS204" i="9"/>
  <c r="AS203" i="9"/>
  <c r="AS202" i="9"/>
  <c r="AS201" i="9"/>
  <c r="AS200" i="9"/>
  <c r="AS199" i="9"/>
  <c r="AS198" i="9"/>
  <c r="AS197" i="9"/>
  <c r="AS196" i="9"/>
  <c r="AS195" i="9"/>
  <c r="AS194" i="9"/>
  <c r="AS193" i="9"/>
  <c r="AS192" i="9"/>
  <c r="AS191" i="9"/>
  <c r="AS190" i="9"/>
  <c r="AS189" i="9"/>
  <c r="AS188" i="9"/>
  <c r="AS187" i="9"/>
  <c r="AS186" i="9"/>
  <c r="AS185" i="9"/>
  <c r="AS184" i="9"/>
  <c r="AS183" i="9"/>
  <c r="AS182" i="9"/>
  <c r="AS181" i="9"/>
  <c r="AS180" i="9"/>
  <c r="AS179" i="9"/>
  <c r="AS178" i="9"/>
  <c r="AS177" i="9"/>
  <c r="AS176" i="9"/>
  <c r="B176" i="9"/>
  <c r="AS175" i="9"/>
  <c r="AS174" i="9"/>
  <c r="AS173" i="9"/>
  <c r="B173" i="9"/>
  <c r="AS172" i="9"/>
  <c r="AS171" i="9"/>
  <c r="AS170" i="9"/>
  <c r="AS169" i="9"/>
  <c r="AS168" i="9"/>
  <c r="AS167" i="9"/>
  <c r="AS166" i="9"/>
  <c r="AS165" i="9"/>
  <c r="AS164" i="9"/>
  <c r="AS163" i="9"/>
  <c r="AS162" i="9"/>
  <c r="AS161" i="9"/>
  <c r="AS160" i="9"/>
  <c r="AS159" i="9"/>
  <c r="AS158" i="9"/>
  <c r="AS157" i="9"/>
  <c r="AS156" i="9"/>
  <c r="AS155" i="9"/>
  <c r="AS154" i="9"/>
  <c r="AS153" i="9"/>
  <c r="AS152" i="9"/>
  <c r="AS151" i="9"/>
  <c r="AS150" i="9"/>
  <c r="AS149" i="9"/>
  <c r="AS148" i="9"/>
  <c r="AS147" i="9"/>
  <c r="AS146" i="9"/>
  <c r="AS145" i="9"/>
  <c r="AS144" i="9"/>
  <c r="AS143" i="9"/>
  <c r="AS142" i="9"/>
  <c r="AS141" i="9"/>
  <c r="AS140" i="9"/>
  <c r="AS139" i="9"/>
  <c r="AS138" i="9"/>
  <c r="B138" i="9"/>
  <c r="AS137" i="9"/>
  <c r="AS136" i="9"/>
  <c r="AS135" i="9"/>
  <c r="AS134" i="9"/>
  <c r="AS133" i="9"/>
  <c r="AS132" i="9"/>
  <c r="AS131" i="9"/>
  <c r="AS130" i="9"/>
  <c r="AS129" i="9"/>
  <c r="AS128" i="9"/>
  <c r="AS127" i="9"/>
  <c r="AS126" i="9"/>
  <c r="AS125" i="9"/>
  <c r="AS124" i="9"/>
  <c r="AS123" i="9"/>
  <c r="AS122" i="9"/>
  <c r="AS121" i="9"/>
  <c r="AS120" i="9"/>
  <c r="AS119" i="9"/>
  <c r="AS118" i="9"/>
  <c r="AS117" i="9"/>
  <c r="AS116" i="9"/>
  <c r="AS115" i="9"/>
  <c r="AS114" i="9"/>
  <c r="AS113" i="9"/>
  <c r="AS112" i="9"/>
  <c r="AS111" i="9"/>
  <c r="AS110" i="9"/>
  <c r="AS109" i="9"/>
  <c r="AS108" i="9"/>
  <c r="AS107" i="9"/>
  <c r="I107" i="9"/>
  <c r="BL107" i="9" s="1"/>
  <c r="BM107" i="9" s="1"/>
  <c r="H107" i="9"/>
  <c r="AS106" i="9"/>
  <c r="I106" i="9"/>
  <c r="BL106" i="9" s="1"/>
  <c r="BM106" i="9" s="1"/>
  <c r="H106" i="9"/>
  <c r="B106" i="9"/>
  <c r="AS105" i="9"/>
  <c r="I105" i="9"/>
  <c r="BL105" i="9" s="1"/>
  <c r="BM105" i="9" s="1"/>
  <c r="H105" i="9"/>
  <c r="B105" i="9"/>
  <c r="AS104" i="9"/>
  <c r="I104" i="9"/>
  <c r="BL104" i="9" s="1"/>
  <c r="BM104" i="9" s="1"/>
  <c r="H104" i="9"/>
  <c r="AS103" i="9"/>
  <c r="I103" i="9"/>
  <c r="BL103" i="9" s="1"/>
  <c r="BM103" i="9" s="1"/>
  <c r="H103" i="9"/>
  <c r="AS102" i="9"/>
  <c r="I102" i="9"/>
  <c r="BL102" i="9" s="1"/>
  <c r="BM102" i="9" s="1"/>
  <c r="H102" i="9"/>
  <c r="BL101" i="9"/>
  <c r="BM101" i="9" s="1"/>
  <c r="AS101" i="9"/>
  <c r="I101" i="9"/>
  <c r="H101" i="9"/>
  <c r="AS100" i="9"/>
  <c r="I100" i="9"/>
  <c r="BL100" i="9" s="1"/>
  <c r="BM100" i="9" s="1"/>
  <c r="H100" i="9"/>
  <c r="AS99" i="9"/>
  <c r="I99" i="9"/>
  <c r="BL99" i="9" s="1"/>
  <c r="BM99" i="9" s="1"/>
  <c r="H99" i="9"/>
  <c r="AS98" i="9"/>
  <c r="AH98" i="9"/>
  <c r="I98" i="9"/>
  <c r="BL98" i="9" s="1"/>
  <c r="BM98" i="9" s="1"/>
  <c r="H98" i="9"/>
  <c r="AS97" i="9"/>
  <c r="I97" i="9"/>
  <c r="BL97" i="9" s="1"/>
  <c r="BM97" i="9" s="1"/>
  <c r="H97" i="9"/>
  <c r="BL96" i="9"/>
  <c r="BM96" i="9" s="1"/>
  <c r="AS96" i="9"/>
  <c r="I96" i="9"/>
  <c r="H96" i="9"/>
  <c r="BL95" i="9"/>
  <c r="BM95" i="9" s="1"/>
  <c r="AS95" i="9"/>
  <c r="L95" i="9"/>
  <c r="K97" i="9" s="1"/>
  <c r="I95" i="9"/>
  <c r="H95" i="9"/>
  <c r="AS94" i="9"/>
  <c r="Z94" i="9"/>
  <c r="W94" i="9"/>
  <c r="I94" i="9"/>
  <c r="BL94" i="9" s="1"/>
  <c r="BM94" i="9" s="1"/>
  <c r="H94" i="9"/>
  <c r="BL93" i="9"/>
  <c r="BM93" i="9" s="1"/>
  <c r="AS93" i="9"/>
  <c r="L93" i="9"/>
  <c r="I93" i="9"/>
  <c r="H93" i="9"/>
  <c r="AS92" i="9"/>
  <c r="AI92" i="9"/>
  <c r="AH92" i="9"/>
  <c r="AH94" i="9" s="1"/>
  <c r="J80" i="9" s="1"/>
  <c r="AG92" i="9"/>
  <c r="AG94" i="9" s="1"/>
  <c r="I80" i="9" s="1"/>
  <c r="AF92" i="9"/>
  <c r="AE92" i="9"/>
  <c r="AE94" i="9" s="1"/>
  <c r="G80" i="9" s="1"/>
  <c r="AD92" i="9"/>
  <c r="AD94" i="9" s="1"/>
  <c r="F80" i="9" s="1"/>
  <c r="AC92" i="9"/>
  <c r="AB92" i="9"/>
  <c r="AA92" i="9"/>
  <c r="AA94" i="9" s="1"/>
  <c r="Z92" i="9"/>
  <c r="Z98" i="9" s="1"/>
  <c r="Y92" i="9"/>
  <c r="Y94" i="9" s="1"/>
  <c r="I74" i="9" s="1"/>
  <c r="X92" i="9"/>
  <c r="W92" i="9"/>
  <c r="W98" i="9" s="1"/>
  <c r="V92" i="9"/>
  <c r="V94" i="9" s="1"/>
  <c r="F74" i="9" s="1"/>
  <c r="U92" i="9"/>
  <c r="U94" i="9" s="1"/>
  <c r="H92" i="9"/>
  <c r="AS91" i="9"/>
  <c r="AI91" i="9"/>
  <c r="AH91" i="9"/>
  <c r="AG91" i="9"/>
  <c r="AF91" i="9"/>
  <c r="AE91" i="9"/>
  <c r="AD91" i="9"/>
  <c r="AC91" i="9"/>
  <c r="AB91" i="9"/>
  <c r="AA91" i="9"/>
  <c r="Z91" i="9"/>
  <c r="Y91" i="9"/>
  <c r="X91" i="9"/>
  <c r="W91" i="9"/>
  <c r="V91" i="9"/>
  <c r="U91" i="9"/>
  <c r="T91" i="9"/>
  <c r="AS90" i="9"/>
  <c r="AS89" i="9"/>
  <c r="AS88" i="9"/>
  <c r="H88" i="9"/>
  <c r="AS87" i="9"/>
  <c r="AS86" i="9"/>
  <c r="AS85" i="9"/>
  <c r="AA85" i="9"/>
  <c r="Z85" i="9"/>
  <c r="Y85" i="9"/>
  <c r="X85" i="9"/>
  <c r="W85" i="9"/>
  <c r="V85" i="9"/>
  <c r="U85" i="9"/>
  <c r="T85" i="9"/>
  <c r="AS84" i="9"/>
  <c r="AS83" i="9"/>
  <c r="AA83" i="9"/>
  <c r="Z83" i="9"/>
  <c r="Y83" i="9"/>
  <c r="X83" i="9"/>
  <c r="W83" i="9"/>
  <c r="V83" i="9"/>
  <c r="U83" i="9"/>
  <c r="T83" i="9"/>
  <c r="AS82" i="9"/>
  <c r="AS81" i="9"/>
  <c r="AS80" i="9"/>
  <c r="AS79" i="9"/>
  <c r="AA79" i="9"/>
  <c r="Z79" i="9"/>
  <c r="Y79" i="9"/>
  <c r="X79" i="9"/>
  <c r="W79" i="9"/>
  <c r="V79" i="9"/>
  <c r="U79" i="9"/>
  <c r="AS78" i="9"/>
  <c r="AS77" i="9"/>
  <c r="AA77" i="9"/>
  <c r="Z77" i="9"/>
  <c r="Y77" i="9"/>
  <c r="X77" i="9"/>
  <c r="W77" i="9"/>
  <c r="V77" i="9"/>
  <c r="U77" i="9"/>
  <c r="T77" i="9"/>
  <c r="AS76" i="9"/>
  <c r="AS75" i="9"/>
  <c r="AS74" i="9"/>
  <c r="K74" i="9"/>
  <c r="J74" i="9"/>
  <c r="G74" i="9"/>
  <c r="E74" i="9"/>
  <c r="AS73" i="9"/>
  <c r="AS72" i="9"/>
  <c r="AS71" i="9"/>
  <c r="AS70" i="9"/>
  <c r="AS69" i="9"/>
  <c r="AS68" i="9"/>
  <c r="AS67" i="9"/>
  <c r="AS66" i="9"/>
  <c r="AS65" i="9"/>
  <c r="AS64" i="9"/>
  <c r="AS63" i="9"/>
  <c r="AS62" i="9"/>
  <c r="B62" i="9"/>
  <c r="AS61" i="9"/>
  <c r="AS60" i="9"/>
  <c r="AS59" i="9"/>
  <c r="AS58" i="9"/>
  <c r="AS57" i="9"/>
  <c r="AS56" i="9"/>
  <c r="AS55" i="9"/>
  <c r="AS54" i="9"/>
  <c r="AS53" i="9"/>
  <c r="AS52" i="9"/>
  <c r="AS51" i="9"/>
  <c r="AS50" i="9"/>
  <c r="AS49" i="9"/>
  <c r="AS48" i="9"/>
  <c r="AS47" i="9"/>
  <c r="AS46" i="9"/>
  <c r="F46" i="9"/>
  <c r="AS45" i="9"/>
  <c r="AN45" i="9"/>
  <c r="F45" i="9"/>
  <c r="AS44" i="9"/>
  <c r="AN44" i="9"/>
  <c r="AS42" i="9"/>
  <c r="AS41" i="9"/>
  <c r="AS40" i="9"/>
  <c r="AS39" i="9"/>
  <c r="AS38" i="9"/>
  <c r="AS37" i="9"/>
  <c r="O37" i="9"/>
  <c r="AS36" i="9"/>
  <c r="O36" i="9"/>
  <c r="O38" i="9" s="1"/>
  <c r="O39" i="9" s="1"/>
  <c r="AS35" i="9"/>
  <c r="O35" i="9"/>
  <c r="AS34" i="9"/>
  <c r="AS33" i="9"/>
  <c r="AS32" i="9"/>
  <c r="AS31" i="9"/>
  <c r="AS30" i="9"/>
  <c r="AS29" i="9"/>
  <c r="AS28" i="9"/>
  <c r="O28" i="9"/>
  <c r="AS27" i="9"/>
  <c r="AS26" i="9"/>
  <c r="AS25" i="9"/>
  <c r="AS24" i="9"/>
  <c r="AS23" i="9"/>
  <c r="O23" i="9"/>
  <c r="AS22" i="9"/>
  <c r="O22" i="9"/>
  <c r="O21" i="9" s="1"/>
  <c r="AS21" i="9"/>
  <c r="AS20" i="9"/>
  <c r="AS19" i="9"/>
  <c r="AS18" i="9"/>
  <c r="AS17" i="9"/>
  <c r="AS16" i="9"/>
  <c r="AS15" i="9"/>
  <c r="AS14" i="9"/>
  <c r="AB14" i="9"/>
  <c r="D14" i="9"/>
  <c r="D72" i="9" s="1"/>
  <c r="AS13" i="9"/>
  <c r="D13" i="9"/>
  <c r="D22" i="9" s="1"/>
  <c r="L22" i="9" s="1"/>
  <c r="AS12" i="9"/>
  <c r="D12" i="9"/>
  <c r="AS11" i="9"/>
  <c r="O11" i="9"/>
  <c r="AS10" i="9"/>
  <c r="O10" i="9"/>
  <c r="AS9" i="9"/>
  <c r="AS8" i="9"/>
  <c r="AS7" i="9"/>
  <c r="AS6" i="9"/>
  <c r="AS5" i="9"/>
  <c r="AS4" i="9"/>
  <c r="AO4" i="9"/>
  <c r="AO5" i="9" s="1"/>
  <c r="AO6" i="9" s="1"/>
  <c r="AZ3" i="9"/>
  <c r="AS3" i="9"/>
  <c r="AQ3" i="9"/>
  <c r="AP4" i="9" l="1"/>
  <c r="AQ4" i="9"/>
  <c r="O14" i="9"/>
  <c r="AA98" i="9"/>
  <c r="AD98" i="9"/>
  <c r="AE98" i="9"/>
  <c r="Y98" i="9"/>
  <c r="AZ4" i="9"/>
  <c r="AG98" i="9"/>
  <c r="AP6" i="9"/>
  <c r="Y32" i="9"/>
  <c r="V98" i="9"/>
  <c r="H46" i="9"/>
  <c r="O12" i="9"/>
  <c r="D33" i="9"/>
  <c r="D34" i="9" s="1"/>
  <c r="D169" i="9" s="1"/>
  <c r="E169" i="9" s="1"/>
  <c r="H45" i="9"/>
  <c r="AO7" i="9"/>
  <c r="AP7" i="9" s="1"/>
  <c r="AZ6" i="9"/>
  <c r="AQ6" i="9"/>
  <c r="D79" i="9"/>
  <c r="T84" i="9" s="1"/>
  <c r="J79" i="9"/>
  <c r="Z84" i="9" s="1"/>
  <c r="J73" i="9"/>
  <c r="Z78" i="9" s="1"/>
  <c r="E79" i="9"/>
  <c r="U84" i="9" s="1"/>
  <c r="E73" i="9"/>
  <c r="U78" i="9" s="1"/>
  <c r="G79" i="9"/>
  <c r="W84" i="9" s="1"/>
  <c r="I73" i="9"/>
  <c r="Y78" i="9" s="1"/>
  <c r="F79" i="9"/>
  <c r="V84" i="9" s="1"/>
  <c r="H73" i="9"/>
  <c r="X78" i="9" s="1"/>
  <c r="G73" i="9"/>
  <c r="W78" i="9" s="1"/>
  <c r="AA86" i="9"/>
  <c r="F73" i="9"/>
  <c r="V78" i="9" s="1"/>
  <c r="Z86" i="9"/>
  <c r="D73" i="9"/>
  <c r="Y86" i="9"/>
  <c r="Z80" i="9"/>
  <c r="K79" i="9"/>
  <c r="AA84" i="9" s="1"/>
  <c r="X86" i="9"/>
  <c r="W80" i="9"/>
  <c r="I79" i="9"/>
  <c r="Y84" i="9" s="1"/>
  <c r="D35" i="9"/>
  <c r="D30" i="9"/>
  <c r="AP5" i="9"/>
  <c r="AP3" i="9"/>
  <c r="U80" i="9"/>
  <c r="K73" i="9"/>
  <c r="AA78" i="9" s="1"/>
  <c r="U86" i="9"/>
  <c r="D24" i="9"/>
  <c r="AB31" i="9" s="1"/>
  <c r="H79" i="9"/>
  <c r="X84" i="9" s="1"/>
  <c r="AQ5" i="9"/>
  <c r="AZ5" i="9"/>
  <c r="T79" i="9"/>
  <c r="B86" i="9"/>
  <c r="T92" i="9"/>
  <c r="I92" i="9"/>
  <c r="BL92" i="9" s="1"/>
  <c r="BM92" i="9" s="1"/>
  <c r="BM108" i="9" s="1"/>
  <c r="BM109" i="9" s="1"/>
  <c r="I108" i="9" s="1"/>
  <c r="AA80" i="9"/>
  <c r="V86" i="9"/>
  <c r="W86" i="9"/>
  <c r="X98" i="9"/>
  <c r="X94" i="9"/>
  <c r="H74" i="9" s="1"/>
  <c r="AF98" i="9"/>
  <c r="AF94" i="9"/>
  <c r="H80" i="9" s="1"/>
  <c r="V80" i="9"/>
  <c r="U98" i="9"/>
  <c r="AI98" i="9"/>
  <c r="AI94" i="9"/>
  <c r="K80" i="9" s="1"/>
  <c r="X80" i="9"/>
  <c r="AB98" i="9"/>
  <c r="AB94" i="9"/>
  <c r="D80" i="9" s="1"/>
  <c r="Y80" i="9"/>
  <c r="T86" i="9"/>
  <c r="AC94" i="9"/>
  <c r="E80" i="9" s="1"/>
  <c r="AC98" i="9"/>
  <c r="V88" i="3"/>
  <c r="Y31" i="9" l="1"/>
  <c r="Y14" i="9"/>
  <c r="B98" i="9"/>
  <c r="AE99" i="9"/>
  <c r="W99" i="9"/>
  <c r="AC93" i="9"/>
  <c r="U93" i="9"/>
  <c r="AF99" i="9"/>
  <c r="V99" i="9"/>
  <c r="AA93" i="9"/>
  <c r="AD99" i="9"/>
  <c r="U99" i="9"/>
  <c r="AC99" i="9"/>
  <c r="AH93" i="9"/>
  <c r="Y93" i="9"/>
  <c r="AB99" i="9"/>
  <c r="AA99" i="9"/>
  <c r="AF93" i="9"/>
  <c r="W93" i="9"/>
  <c r="AI99" i="9"/>
  <c r="Z99" i="9"/>
  <c r="AE93" i="9"/>
  <c r="V93" i="9"/>
  <c r="AG99" i="9"/>
  <c r="X99" i="9"/>
  <c r="L97" i="9"/>
  <c r="AB93" i="9"/>
  <c r="T93" i="9"/>
  <c r="AI93" i="9"/>
  <c r="AH99" i="9"/>
  <c r="AG93" i="9"/>
  <c r="Y99" i="9"/>
  <c r="AD93" i="9"/>
  <c r="Z93" i="9"/>
  <c r="AR4" i="9"/>
  <c r="AU4" i="9" s="1"/>
  <c r="X93" i="9"/>
  <c r="AB13" i="9"/>
  <c r="AR6" i="9"/>
  <c r="AU6" i="9" s="1"/>
  <c r="Y13" i="9"/>
  <c r="AR7" i="9"/>
  <c r="AU7" i="9" s="1"/>
  <c r="AR3" i="9"/>
  <c r="AU3" i="9" s="1"/>
  <c r="D25" i="9"/>
  <c r="L96" i="9" s="1"/>
  <c r="AR5" i="9"/>
  <c r="AU5" i="9" s="1"/>
  <c r="D168" i="9"/>
  <c r="D32" i="9"/>
  <c r="T94" i="9"/>
  <c r="D74" i="9" s="1"/>
  <c r="B91" i="9" s="1"/>
  <c r="T98" i="9"/>
  <c r="AM98" i="9" s="1"/>
  <c r="B87" i="9" s="1"/>
  <c r="T78" i="9"/>
  <c r="D37" i="9"/>
  <c r="D46" i="9" s="1"/>
  <c r="E46" i="9" s="1"/>
  <c r="T80" i="9"/>
  <c r="D38" i="9"/>
  <c r="D15" i="9"/>
  <c r="AB33" i="9" s="1"/>
  <c r="AO8" i="9"/>
  <c r="AR8" i="9" s="1"/>
  <c r="AZ7" i="9"/>
  <c r="AQ7" i="9"/>
  <c r="H92" i="3"/>
  <c r="AW7" i="9" l="1"/>
  <c r="AV7" i="9"/>
  <c r="AW4" i="9"/>
  <c r="AV4" i="9"/>
  <c r="AX4" i="9" s="1"/>
  <c r="AY4" i="9" s="1"/>
  <c r="BA4" i="9" s="1"/>
  <c r="B90" i="9"/>
  <c r="D174" i="9"/>
  <c r="AN47" i="9"/>
  <c r="I46" i="9" s="1"/>
  <c r="K31" i="9"/>
  <c r="K32" i="9" s="1"/>
  <c r="L11" i="9" s="1"/>
  <c r="AN46" i="9"/>
  <c r="J45" i="9" s="1"/>
  <c r="E168" i="9"/>
  <c r="D39" i="9"/>
  <c r="AW6" i="9"/>
  <c r="AV6" i="9"/>
  <c r="AW5" i="9"/>
  <c r="AV5" i="9"/>
  <c r="AO9" i="9"/>
  <c r="AZ8" i="9"/>
  <c r="AQ8" i="9"/>
  <c r="AU8" i="9" s="1"/>
  <c r="AP8" i="9"/>
  <c r="E45" i="9"/>
  <c r="D36" i="9"/>
  <c r="D45" i="9" s="1"/>
  <c r="AW3" i="9"/>
  <c r="AV3" i="9"/>
  <c r="T99" i="9"/>
  <c r="D173" i="9" s="1"/>
  <c r="E173" i="9" s="1"/>
  <c r="H47" i="8"/>
  <c r="H46" i="8"/>
  <c r="H46" i="3"/>
  <c r="H45" i="3"/>
  <c r="AX3" i="9" l="1"/>
  <c r="AY3" i="9" s="1"/>
  <c r="BA3" i="9" s="1"/>
  <c r="AX6" i="9"/>
  <c r="AY6" i="9" s="1"/>
  <c r="BA6" i="9" s="1"/>
  <c r="B102" i="9"/>
  <c r="AX5" i="9"/>
  <c r="AY5" i="9" s="1"/>
  <c r="BA5" i="9" s="1"/>
  <c r="D176" i="9"/>
  <c r="AW8" i="9"/>
  <c r="AV8" i="9"/>
  <c r="J46" i="9"/>
  <c r="D177" i="9"/>
  <c r="E177" i="9" s="1"/>
  <c r="E174" i="9"/>
  <c r="I45" i="9"/>
  <c r="AX7" i="9"/>
  <c r="AY7" i="9" s="1"/>
  <c r="BA7" i="9" s="1"/>
  <c r="AZ9" i="9"/>
  <c r="AQ9" i="9"/>
  <c r="AO10" i="9"/>
  <c r="AP9" i="9"/>
  <c r="AR9" i="9"/>
  <c r="D26" i="5"/>
  <c r="D27" i="5" s="1"/>
  <c r="D24" i="5"/>
  <c r="D178" i="9" l="1"/>
  <c r="E178" i="9" s="1"/>
  <c r="E176" i="9"/>
  <c r="AU9" i="9"/>
  <c r="AZ10" i="9"/>
  <c r="AQ10" i="9"/>
  <c r="AO11" i="9"/>
  <c r="AP10" i="9"/>
  <c r="AR10" i="9"/>
  <c r="AU10" i="9" s="1"/>
  <c r="AX8" i="9"/>
  <c r="AY8" i="9" s="1"/>
  <c r="BA8" i="9" s="1"/>
  <c r="L99" i="3"/>
  <c r="K101" i="3" s="1"/>
  <c r="L97" i="3"/>
  <c r="I111" i="3"/>
  <c r="BL111" i="3" s="1"/>
  <c r="BM111" i="3" s="1"/>
  <c r="H111" i="3"/>
  <c r="I110" i="3"/>
  <c r="BL110" i="3" s="1"/>
  <c r="BM110" i="3" s="1"/>
  <c r="H110" i="3"/>
  <c r="I109" i="3"/>
  <c r="BL109" i="3" s="1"/>
  <c r="BM109" i="3" s="1"/>
  <c r="H109" i="3"/>
  <c r="I108" i="3"/>
  <c r="BL108" i="3" s="1"/>
  <c r="BM108" i="3" s="1"/>
  <c r="H108" i="3"/>
  <c r="I107" i="3"/>
  <c r="BL107" i="3" s="1"/>
  <c r="BM107" i="3" s="1"/>
  <c r="H107" i="3"/>
  <c r="I106" i="3"/>
  <c r="BL106" i="3" s="1"/>
  <c r="BM106" i="3" s="1"/>
  <c r="H106" i="3"/>
  <c r="I105" i="3"/>
  <c r="BL105" i="3" s="1"/>
  <c r="BM105" i="3" s="1"/>
  <c r="H105" i="3"/>
  <c r="I104" i="3"/>
  <c r="BL104" i="3" s="1"/>
  <c r="BM104" i="3" s="1"/>
  <c r="H104" i="3"/>
  <c r="I103" i="3"/>
  <c r="BL103" i="3" s="1"/>
  <c r="BM103" i="3" s="1"/>
  <c r="H103" i="3"/>
  <c r="I102" i="3"/>
  <c r="BL102" i="3" s="1"/>
  <c r="BM102" i="3" s="1"/>
  <c r="H102" i="3"/>
  <c r="I101" i="3"/>
  <c r="BL101" i="3" s="1"/>
  <c r="BM101" i="3" s="1"/>
  <c r="H101" i="3"/>
  <c r="I100" i="3"/>
  <c r="BL100" i="3" s="1"/>
  <c r="BM100" i="3" s="1"/>
  <c r="H100" i="3"/>
  <c r="I99" i="3"/>
  <c r="BL99" i="3" s="1"/>
  <c r="BM99" i="3" s="1"/>
  <c r="H99" i="3"/>
  <c r="I98" i="3"/>
  <c r="BL98" i="3" s="1"/>
  <c r="BM98" i="3" s="1"/>
  <c r="H98" i="3"/>
  <c r="I97" i="3"/>
  <c r="BL97" i="3" s="1"/>
  <c r="BM97" i="3" s="1"/>
  <c r="H97" i="3"/>
  <c r="H96" i="3"/>
  <c r="BL107" i="2"/>
  <c r="BM107" i="2" s="1"/>
  <c r="H88" i="2"/>
  <c r="I107" i="2"/>
  <c r="H107" i="2"/>
  <c r="I106" i="2"/>
  <c r="BL106" i="2" s="1"/>
  <c r="BM106" i="2" s="1"/>
  <c r="H106" i="2"/>
  <c r="I105" i="2"/>
  <c r="BL105" i="2" s="1"/>
  <c r="BM105" i="2" s="1"/>
  <c r="H105" i="2"/>
  <c r="I104" i="2"/>
  <c r="BL104" i="2" s="1"/>
  <c r="BM104" i="2" s="1"/>
  <c r="H104" i="2"/>
  <c r="I103" i="2"/>
  <c r="BL103" i="2" s="1"/>
  <c r="BM103" i="2" s="1"/>
  <c r="H103" i="2"/>
  <c r="I102" i="2"/>
  <c r="BL102" i="2" s="1"/>
  <c r="BM102" i="2" s="1"/>
  <c r="H102" i="2"/>
  <c r="I101" i="2"/>
  <c r="BL101" i="2" s="1"/>
  <c r="BM101" i="2" s="1"/>
  <c r="H101" i="2"/>
  <c r="I100" i="2"/>
  <c r="BL100" i="2" s="1"/>
  <c r="BM100" i="2" s="1"/>
  <c r="H100" i="2"/>
  <c r="I99" i="2"/>
  <c r="BL99" i="2" s="1"/>
  <c r="BM99" i="2" s="1"/>
  <c r="H99" i="2"/>
  <c r="I98" i="2"/>
  <c r="BL98" i="2" s="1"/>
  <c r="BM98" i="2" s="1"/>
  <c r="H98" i="2"/>
  <c r="I97" i="2"/>
  <c r="BL97" i="2" s="1"/>
  <c r="BM97" i="2" s="1"/>
  <c r="H97" i="2"/>
  <c r="I96" i="2"/>
  <c r="BL96" i="2" s="1"/>
  <c r="BM96" i="2" s="1"/>
  <c r="H96" i="2"/>
  <c r="L95" i="2"/>
  <c r="I95" i="2"/>
  <c r="BL95" i="2" s="1"/>
  <c r="BM95" i="2" s="1"/>
  <c r="H95" i="2"/>
  <c r="I94" i="2"/>
  <c r="BL94" i="2" s="1"/>
  <c r="BM94" i="2" s="1"/>
  <c r="H94" i="2"/>
  <c r="L93" i="2"/>
  <c r="I93" i="2"/>
  <c r="BL93" i="2" s="1"/>
  <c r="BM93" i="2" s="1"/>
  <c r="H93" i="2"/>
  <c r="H92" i="2"/>
  <c r="AV10" i="9" l="1"/>
  <c r="AW10" i="9"/>
  <c r="AO12" i="9"/>
  <c r="AZ11" i="9"/>
  <c r="AQ11" i="9"/>
  <c r="AP11" i="9"/>
  <c r="AR11" i="9"/>
  <c r="AU11" i="9" s="1"/>
  <c r="AW9" i="9"/>
  <c r="AV9" i="9"/>
  <c r="K97" i="2"/>
  <c r="H45" i="2"/>
  <c r="H46" i="2"/>
  <c r="F69" i="3"/>
  <c r="F68" i="3"/>
  <c r="F47" i="8"/>
  <c r="F46" i="8"/>
  <c r="F46" i="3"/>
  <c r="F45" i="3"/>
  <c r="F46" i="2"/>
  <c r="F45" i="2"/>
  <c r="AX9" i="9" l="1"/>
  <c r="AY9" i="9" s="1"/>
  <c r="BA9" i="9" s="1"/>
  <c r="AW11" i="9"/>
  <c r="AV11" i="9"/>
  <c r="AO13" i="9"/>
  <c r="AQ12" i="9"/>
  <c r="AZ12" i="9"/>
  <c r="AP12" i="9"/>
  <c r="AR12" i="9"/>
  <c r="AU12" i="9" s="1"/>
  <c r="AX10" i="9"/>
  <c r="AY10" i="9" s="1"/>
  <c r="BA10" i="9" s="1"/>
  <c r="AX11" i="9" l="1"/>
  <c r="AY11" i="9" s="1"/>
  <c r="BA11" i="9" s="1"/>
  <c r="AV12" i="9"/>
  <c r="AW12" i="9"/>
  <c r="AZ13" i="9"/>
  <c r="AQ13" i="9"/>
  <c r="AO14" i="9"/>
  <c r="AP13" i="9"/>
  <c r="AR13" i="9"/>
  <c r="AU13" i="9" s="1"/>
  <c r="AX12" i="9" l="1"/>
  <c r="AY12" i="9" s="1"/>
  <c r="BA12" i="9" s="1"/>
  <c r="AW13" i="9"/>
  <c r="AV13" i="9"/>
  <c r="AX13" i="9" s="1"/>
  <c r="AY13" i="9" s="1"/>
  <c r="BA13" i="9" s="1"/>
  <c r="AZ14" i="9"/>
  <c r="AQ14" i="9"/>
  <c r="AO15" i="9"/>
  <c r="AP14" i="9"/>
  <c r="AR14" i="9"/>
  <c r="AU14" i="9" s="1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L95" i="8"/>
  <c r="K97" i="8" s="1"/>
  <c r="L93" i="8"/>
  <c r="H88" i="8"/>
  <c r="AO16" i="9" l="1"/>
  <c r="AZ15" i="9"/>
  <c r="AQ15" i="9"/>
  <c r="AP15" i="9"/>
  <c r="AR15" i="9"/>
  <c r="AU15" i="9" s="1"/>
  <c r="AW14" i="9"/>
  <c r="AV14" i="9"/>
  <c r="AX14" i="9" s="1"/>
  <c r="AY14" i="9" s="1"/>
  <c r="BA14" i="9" s="1"/>
  <c r="D21" i="5"/>
  <c r="AV15" i="9" l="1"/>
  <c r="AW15" i="9"/>
  <c r="AO17" i="9"/>
  <c r="AZ16" i="9"/>
  <c r="AQ16" i="9"/>
  <c r="AP16" i="9"/>
  <c r="AR16" i="9"/>
  <c r="AU16" i="9" s="1"/>
  <c r="B106" i="2"/>
  <c r="B110" i="3"/>
  <c r="AV16" i="9" l="1"/>
  <c r="AW16" i="9"/>
  <c r="AO18" i="9"/>
  <c r="AZ17" i="9"/>
  <c r="AQ17" i="9"/>
  <c r="AP17" i="9"/>
  <c r="AR17" i="9"/>
  <c r="AU17" i="9" s="1"/>
  <c r="AX15" i="9"/>
  <c r="AY15" i="9" s="1"/>
  <c r="BA15" i="9" s="1"/>
  <c r="AV17" i="9" l="1"/>
  <c r="AW17" i="9"/>
  <c r="AO19" i="9"/>
  <c r="AZ18" i="9"/>
  <c r="AQ18" i="9"/>
  <c r="AP18" i="9"/>
  <c r="AR18" i="9"/>
  <c r="AU18" i="9" s="1"/>
  <c r="AX16" i="9"/>
  <c r="AY16" i="9" s="1"/>
  <c r="BA16" i="9" s="1"/>
  <c r="AV18" i="9" l="1"/>
  <c r="AW18" i="9"/>
  <c r="AO20" i="9"/>
  <c r="AQ19" i="9"/>
  <c r="AZ19" i="9"/>
  <c r="AP19" i="9"/>
  <c r="AR19" i="9"/>
  <c r="AU19" i="9" s="1"/>
  <c r="AX17" i="9"/>
  <c r="AY17" i="9" s="1"/>
  <c r="BA17" i="9" s="1"/>
  <c r="B106" i="8"/>
  <c r="B105" i="2"/>
  <c r="B109" i="3"/>
  <c r="AV19" i="9" l="1"/>
  <c r="AW19" i="9"/>
  <c r="AO21" i="9"/>
  <c r="AQ20" i="9"/>
  <c r="AZ20" i="9"/>
  <c r="AP20" i="9"/>
  <c r="AR20" i="9"/>
  <c r="AU20" i="9" s="1"/>
  <c r="AX18" i="9"/>
  <c r="AY18" i="9" s="1"/>
  <c r="BA18" i="9" s="1"/>
  <c r="O18" i="2"/>
  <c r="AX19" i="9" l="1"/>
  <c r="AY19" i="9" s="1"/>
  <c r="BA19" i="9" s="1"/>
  <c r="AV20" i="9"/>
  <c r="AW20" i="9"/>
  <c r="AZ21" i="9"/>
  <c r="AQ21" i="9"/>
  <c r="AO22" i="9"/>
  <c r="AP21" i="9"/>
  <c r="AR21" i="9"/>
  <c r="AU21" i="9" s="1"/>
  <c r="D16" i="3"/>
  <c r="D16" i="2"/>
  <c r="AX20" i="9" l="1"/>
  <c r="AY20" i="9" s="1"/>
  <c r="BA20" i="9" s="1"/>
  <c r="AO23" i="9"/>
  <c r="AQ22" i="9"/>
  <c r="AZ22" i="9"/>
  <c r="AP22" i="9"/>
  <c r="AR22" i="9"/>
  <c r="AU22" i="9" s="1"/>
  <c r="AV21" i="9"/>
  <c r="AW21" i="9"/>
  <c r="O23" i="8"/>
  <c r="O23" i="2"/>
  <c r="O25" i="3"/>
  <c r="O22" i="2"/>
  <c r="O21" i="2" s="1"/>
  <c r="O24" i="3"/>
  <c r="O22" i="3" s="1"/>
  <c r="O22" i="8"/>
  <c r="O21" i="8" s="1"/>
  <c r="AX21" i="9" l="1"/>
  <c r="AY21" i="9" s="1"/>
  <c r="BA21" i="9" s="1"/>
  <c r="AO24" i="9"/>
  <c r="AZ23" i="9"/>
  <c r="AQ23" i="9"/>
  <c r="AP23" i="9"/>
  <c r="AR23" i="9"/>
  <c r="AU23" i="9" s="1"/>
  <c r="AV22" i="9"/>
  <c r="AW22" i="9"/>
  <c r="O23" i="3"/>
  <c r="AQ4" i="8"/>
  <c r="AQ5" i="8"/>
  <c r="AQ6" i="8"/>
  <c r="AQ7" i="8"/>
  <c r="AQ8" i="8"/>
  <c r="AQ9" i="8"/>
  <c r="AQ10" i="8"/>
  <c r="AQ11" i="8"/>
  <c r="AQ12" i="8"/>
  <c r="AQ13" i="8"/>
  <c r="AQ14" i="8"/>
  <c r="AQ15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28" i="8"/>
  <c r="AQ29" i="8"/>
  <c r="AQ30" i="8"/>
  <c r="AQ31" i="8"/>
  <c r="AQ32" i="8"/>
  <c r="AQ33" i="8"/>
  <c r="AQ34" i="8"/>
  <c r="AQ35" i="8"/>
  <c r="AQ36" i="8"/>
  <c r="AQ37" i="8"/>
  <c r="AQ38" i="8"/>
  <c r="AQ39" i="8"/>
  <c r="AQ40" i="8"/>
  <c r="AQ41" i="8"/>
  <c r="AQ42" i="8"/>
  <c r="AQ43" i="8"/>
  <c r="AQ45" i="8"/>
  <c r="AQ46" i="8"/>
  <c r="AQ47" i="8"/>
  <c r="AQ48" i="8"/>
  <c r="AQ49" i="8"/>
  <c r="AQ50" i="8"/>
  <c r="AQ51" i="8"/>
  <c r="AQ52" i="8"/>
  <c r="AQ53" i="8"/>
  <c r="AQ54" i="8"/>
  <c r="AQ55" i="8"/>
  <c r="AQ56" i="8"/>
  <c r="AQ57" i="8"/>
  <c r="AQ58" i="8"/>
  <c r="AQ59" i="8"/>
  <c r="AQ60" i="8"/>
  <c r="AQ61" i="8"/>
  <c r="AQ62" i="8"/>
  <c r="AQ63" i="8"/>
  <c r="AQ64" i="8"/>
  <c r="AQ65" i="8"/>
  <c r="AQ66" i="8"/>
  <c r="AQ67" i="8"/>
  <c r="AQ68" i="8"/>
  <c r="AQ69" i="8"/>
  <c r="AQ70" i="8"/>
  <c r="AQ71" i="8"/>
  <c r="AQ72" i="8"/>
  <c r="AQ73" i="8"/>
  <c r="AQ74" i="8"/>
  <c r="AQ75" i="8"/>
  <c r="AQ76" i="8"/>
  <c r="AQ77" i="8"/>
  <c r="AQ78" i="8"/>
  <c r="AQ79" i="8"/>
  <c r="AQ80" i="8"/>
  <c r="AQ81" i="8"/>
  <c r="AQ82" i="8"/>
  <c r="AQ83" i="8"/>
  <c r="AQ84" i="8"/>
  <c r="AQ85" i="8"/>
  <c r="AQ86" i="8"/>
  <c r="AQ87" i="8"/>
  <c r="AQ88" i="8"/>
  <c r="AQ89" i="8"/>
  <c r="AQ90" i="8"/>
  <c r="AQ91" i="8"/>
  <c r="AQ92" i="8"/>
  <c r="AQ93" i="8"/>
  <c r="AQ94" i="8"/>
  <c r="AQ95" i="8"/>
  <c r="AQ96" i="8"/>
  <c r="AQ97" i="8"/>
  <c r="AQ98" i="8"/>
  <c r="AQ99" i="8"/>
  <c r="AQ100" i="8"/>
  <c r="AQ101" i="8"/>
  <c r="AQ102" i="8"/>
  <c r="AQ103" i="8"/>
  <c r="AQ104" i="8"/>
  <c r="AQ105" i="8"/>
  <c r="AQ106" i="8"/>
  <c r="AQ107" i="8"/>
  <c r="AQ108" i="8"/>
  <c r="AQ109" i="8"/>
  <c r="AQ110" i="8"/>
  <c r="AQ111" i="8"/>
  <c r="AQ112" i="8"/>
  <c r="AQ113" i="8"/>
  <c r="AQ114" i="8"/>
  <c r="AQ115" i="8"/>
  <c r="AQ116" i="8"/>
  <c r="AQ117" i="8"/>
  <c r="AQ118" i="8"/>
  <c r="AQ119" i="8"/>
  <c r="AQ120" i="8"/>
  <c r="AQ121" i="8"/>
  <c r="AQ122" i="8"/>
  <c r="AQ123" i="8"/>
  <c r="AQ124" i="8"/>
  <c r="AQ125" i="8"/>
  <c r="AQ126" i="8"/>
  <c r="AQ127" i="8"/>
  <c r="AQ128" i="8"/>
  <c r="AQ129" i="8"/>
  <c r="AQ130" i="8"/>
  <c r="AQ131" i="8"/>
  <c r="AQ132" i="8"/>
  <c r="AQ133" i="8"/>
  <c r="AQ134" i="8"/>
  <c r="AQ135" i="8"/>
  <c r="AQ136" i="8"/>
  <c r="AQ137" i="8"/>
  <c r="AQ138" i="8"/>
  <c r="AQ139" i="8"/>
  <c r="AQ140" i="8"/>
  <c r="AQ141" i="8"/>
  <c r="AQ142" i="8"/>
  <c r="AQ143" i="8"/>
  <c r="AQ144" i="8"/>
  <c r="AQ145" i="8"/>
  <c r="AQ146" i="8"/>
  <c r="AQ147" i="8"/>
  <c r="AQ148" i="8"/>
  <c r="AQ149" i="8"/>
  <c r="AQ150" i="8"/>
  <c r="AQ151" i="8"/>
  <c r="AQ152" i="8"/>
  <c r="AQ153" i="8"/>
  <c r="AQ154" i="8"/>
  <c r="AQ155" i="8"/>
  <c r="AQ156" i="8"/>
  <c r="AQ157" i="8"/>
  <c r="AQ158" i="8"/>
  <c r="AQ159" i="8"/>
  <c r="AQ160" i="8"/>
  <c r="AQ161" i="8"/>
  <c r="AQ162" i="8"/>
  <c r="AQ163" i="8"/>
  <c r="AQ164" i="8"/>
  <c r="AQ165" i="8"/>
  <c r="AQ166" i="8"/>
  <c r="AQ167" i="8"/>
  <c r="AQ168" i="8"/>
  <c r="AQ169" i="8"/>
  <c r="AQ170" i="8"/>
  <c r="AQ171" i="8"/>
  <c r="AQ172" i="8"/>
  <c r="AQ173" i="8"/>
  <c r="AQ174" i="8"/>
  <c r="AQ175" i="8"/>
  <c r="AQ176" i="8"/>
  <c r="AQ177" i="8"/>
  <c r="AQ178" i="8"/>
  <c r="AQ179" i="8"/>
  <c r="AQ180" i="8"/>
  <c r="AQ181" i="8"/>
  <c r="AQ182" i="8"/>
  <c r="AQ183" i="8"/>
  <c r="AQ184" i="8"/>
  <c r="AQ185" i="8"/>
  <c r="AQ186" i="8"/>
  <c r="AQ187" i="8"/>
  <c r="AQ188" i="8"/>
  <c r="AQ189" i="8"/>
  <c r="AQ190" i="8"/>
  <c r="AQ191" i="8"/>
  <c r="AQ192" i="8"/>
  <c r="AQ193" i="8"/>
  <c r="AQ194" i="8"/>
  <c r="AQ195" i="8"/>
  <c r="AQ196" i="8"/>
  <c r="AQ197" i="8"/>
  <c r="AQ198" i="8"/>
  <c r="AQ199" i="8"/>
  <c r="AQ200" i="8"/>
  <c r="AQ201" i="8"/>
  <c r="AQ202" i="8"/>
  <c r="AQ203" i="8"/>
  <c r="AQ204" i="8"/>
  <c r="AQ205" i="8"/>
  <c r="AQ206" i="8"/>
  <c r="AQ207" i="8"/>
  <c r="AQ208" i="8"/>
  <c r="AQ209" i="8"/>
  <c r="AQ210" i="8"/>
  <c r="AQ211" i="8"/>
  <c r="AQ212" i="8"/>
  <c r="AQ213" i="8"/>
  <c r="AQ214" i="8"/>
  <c r="AQ215" i="8"/>
  <c r="AQ216" i="8"/>
  <c r="AQ217" i="8"/>
  <c r="AQ218" i="8"/>
  <c r="AQ219" i="8"/>
  <c r="AQ220" i="8"/>
  <c r="AQ221" i="8"/>
  <c r="AQ222" i="8"/>
  <c r="AQ223" i="8"/>
  <c r="AQ224" i="8"/>
  <c r="AQ225" i="8"/>
  <c r="AQ226" i="8"/>
  <c r="AQ227" i="8"/>
  <c r="AQ228" i="8"/>
  <c r="AQ229" i="8"/>
  <c r="AQ230" i="8"/>
  <c r="AQ231" i="8"/>
  <c r="AQ232" i="8"/>
  <c r="AQ233" i="8"/>
  <c r="AQ234" i="8"/>
  <c r="AQ235" i="8"/>
  <c r="AQ236" i="8"/>
  <c r="AQ237" i="8"/>
  <c r="AQ238" i="8"/>
  <c r="AQ239" i="8"/>
  <c r="AQ240" i="8"/>
  <c r="AQ241" i="8"/>
  <c r="AQ242" i="8"/>
  <c r="AQ243" i="8"/>
  <c r="AQ244" i="8"/>
  <c r="AQ245" i="8"/>
  <c r="AQ246" i="8"/>
  <c r="AQ247" i="8"/>
  <c r="AQ248" i="8"/>
  <c r="AQ249" i="8"/>
  <c r="AQ250" i="8"/>
  <c r="AQ3" i="8"/>
  <c r="AZ24" i="9" l="1"/>
  <c r="AQ24" i="9"/>
  <c r="AO25" i="9"/>
  <c r="AP24" i="9"/>
  <c r="AR24" i="9"/>
  <c r="AU24" i="9" s="1"/>
  <c r="AX22" i="9"/>
  <c r="AY22" i="9" s="1"/>
  <c r="BA22" i="9" s="1"/>
  <c r="AV23" i="9"/>
  <c r="AW23" i="9"/>
  <c r="K82" i="8"/>
  <c r="I107" i="8" s="1"/>
  <c r="BL107" i="8" s="1"/>
  <c r="BM107" i="8" s="1"/>
  <c r="J82" i="8"/>
  <c r="I106" i="8" s="1"/>
  <c r="BL106" i="8" s="1"/>
  <c r="BM106" i="8" s="1"/>
  <c r="I82" i="8"/>
  <c r="I105" i="8" s="1"/>
  <c r="BL105" i="8" s="1"/>
  <c r="BM105" i="8" s="1"/>
  <c r="H82" i="8"/>
  <c r="I104" i="8" s="1"/>
  <c r="BL104" i="8" s="1"/>
  <c r="BM104" i="8" s="1"/>
  <c r="G82" i="8"/>
  <c r="I103" i="8" s="1"/>
  <c r="BL103" i="8" s="1"/>
  <c r="BM103" i="8" s="1"/>
  <c r="F82" i="8"/>
  <c r="I102" i="8" s="1"/>
  <c r="BL102" i="8" s="1"/>
  <c r="BM102" i="8" s="1"/>
  <c r="E82" i="8"/>
  <c r="I101" i="8" s="1"/>
  <c r="BL101" i="8" s="1"/>
  <c r="BM101" i="8" s="1"/>
  <c r="D82" i="8"/>
  <c r="I100" i="8" s="1"/>
  <c r="BL100" i="8" s="1"/>
  <c r="BM100" i="8" s="1"/>
  <c r="E76" i="8"/>
  <c r="I93" i="8" s="1"/>
  <c r="BL93" i="8" s="1"/>
  <c r="BM93" i="8" s="1"/>
  <c r="F76" i="8"/>
  <c r="I94" i="8" s="1"/>
  <c r="BL94" i="8" s="1"/>
  <c r="BM94" i="8" s="1"/>
  <c r="G76" i="8"/>
  <c r="I95" i="8" s="1"/>
  <c r="BL95" i="8" s="1"/>
  <c r="BM95" i="8" s="1"/>
  <c r="I76" i="8"/>
  <c r="I97" i="8" s="1"/>
  <c r="BL97" i="8" s="1"/>
  <c r="BM97" i="8" s="1"/>
  <c r="J76" i="8"/>
  <c r="I98" i="8" s="1"/>
  <c r="BL98" i="8" s="1"/>
  <c r="BM98" i="8" s="1"/>
  <c r="K76" i="8"/>
  <c r="I99" i="8" s="1"/>
  <c r="BL99" i="8" s="1"/>
  <c r="BM99" i="8" s="1"/>
  <c r="AS250" i="8"/>
  <c r="AS249" i="8"/>
  <c r="AS248" i="8"/>
  <c r="AS247" i="8"/>
  <c r="AS246" i="8"/>
  <c r="AS245" i="8"/>
  <c r="AS244" i="8"/>
  <c r="AS243" i="8"/>
  <c r="AS242" i="8"/>
  <c r="AS241" i="8"/>
  <c r="AS240" i="8"/>
  <c r="AS239" i="8"/>
  <c r="AS238" i="8"/>
  <c r="AS237" i="8"/>
  <c r="AS236" i="8"/>
  <c r="AS235" i="8"/>
  <c r="AS234" i="8"/>
  <c r="AS233" i="8"/>
  <c r="AS232" i="8"/>
  <c r="AS231" i="8"/>
  <c r="AS230" i="8"/>
  <c r="AS229" i="8"/>
  <c r="AS228" i="8"/>
  <c r="AS227" i="8"/>
  <c r="AS226" i="8"/>
  <c r="AS225" i="8"/>
  <c r="AS224" i="8"/>
  <c r="AS223" i="8"/>
  <c r="AS222" i="8"/>
  <c r="AS221" i="8"/>
  <c r="AS220" i="8"/>
  <c r="AS219" i="8"/>
  <c r="AS218" i="8"/>
  <c r="AS217" i="8"/>
  <c r="AS216" i="8"/>
  <c r="AS215" i="8"/>
  <c r="AS214" i="8"/>
  <c r="AS213" i="8"/>
  <c r="AS212" i="8"/>
  <c r="AS211" i="8"/>
  <c r="AS210" i="8"/>
  <c r="AS209" i="8"/>
  <c r="AS208" i="8"/>
  <c r="AS207" i="8"/>
  <c r="AS206" i="8"/>
  <c r="AS205" i="8"/>
  <c r="AS204" i="8"/>
  <c r="AS203" i="8"/>
  <c r="AS202" i="8"/>
  <c r="AS201" i="8"/>
  <c r="AS200" i="8"/>
  <c r="AS199" i="8"/>
  <c r="AS198" i="8"/>
  <c r="AS197" i="8"/>
  <c r="AS196" i="8"/>
  <c r="AS195" i="8"/>
  <c r="AS194" i="8"/>
  <c r="AS193" i="8"/>
  <c r="AS192" i="8"/>
  <c r="AS191" i="8"/>
  <c r="AS190" i="8"/>
  <c r="AS189" i="8"/>
  <c r="AS188" i="8"/>
  <c r="AS187" i="8"/>
  <c r="AS186" i="8"/>
  <c r="AS185" i="8"/>
  <c r="AS184" i="8"/>
  <c r="AS183" i="8"/>
  <c r="AS182" i="8"/>
  <c r="AS181" i="8"/>
  <c r="AS180" i="8"/>
  <c r="AS179" i="8"/>
  <c r="AS178" i="8"/>
  <c r="AS177" i="8"/>
  <c r="B177" i="8"/>
  <c r="AS176" i="8"/>
  <c r="AS175" i="8"/>
  <c r="AS174" i="8"/>
  <c r="B174" i="8"/>
  <c r="AS173" i="8"/>
  <c r="AS172" i="8"/>
  <c r="AS171" i="8"/>
  <c r="AS170" i="8"/>
  <c r="AS169" i="8"/>
  <c r="AS168" i="8"/>
  <c r="AS167" i="8"/>
  <c r="AS166" i="8"/>
  <c r="AS165" i="8"/>
  <c r="AS164" i="8"/>
  <c r="AS163" i="8"/>
  <c r="AS162" i="8"/>
  <c r="AS161" i="8"/>
  <c r="AS160" i="8"/>
  <c r="AS159" i="8"/>
  <c r="AS158" i="8"/>
  <c r="AS157" i="8"/>
  <c r="AS156" i="8"/>
  <c r="AS155" i="8"/>
  <c r="AS154" i="8"/>
  <c r="AS153" i="8"/>
  <c r="AS152" i="8"/>
  <c r="AS151" i="8"/>
  <c r="AS150" i="8"/>
  <c r="AS149" i="8"/>
  <c r="AS148" i="8"/>
  <c r="AS147" i="8"/>
  <c r="AS146" i="8"/>
  <c r="AS145" i="8"/>
  <c r="AS144" i="8"/>
  <c r="AS143" i="8"/>
  <c r="AS142" i="8"/>
  <c r="AS141" i="8"/>
  <c r="AS140" i="8"/>
  <c r="AS139" i="8"/>
  <c r="B139" i="8"/>
  <c r="AS138" i="8"/>
  <c r="AS137" i="8"/>
  <c r="AS136" i="8"/>
  <c r="AS135" i="8"/>
  <c r="AS134" i="8"/>
  <c r="AS133" i="8"/>
  <c r="AS132" i="8"/>
  <c r="AS131" i="8"/>
  <c r="AS130" i="8"/>
  <c r="AS129" i="8"/>
  <c r="AS128" i="8"/>
  <c r="AS127" i="8"/>
  <c r="AS126" i="8"/>
  <c r="AS125" i="8"/>
  <c r="AS124" i="8"/>
  <c r="AS123" i="8"/>
  <c r="AS122" i="8"/>
  <c r="AS121" i="8"/>
  <c r="AS120" i="8"/>
  <c r="AS119" i="8"/>
  <c r="AS118" i="8"/>
  <c r="AS117" i="8"/>
  <c r="AS116" i="8"/>
  <c r="AS115" i="8"/>
  <c r="AS114" i="8"/>
  <c r="AS113" i="8"/>
  <c r="AS112" i="8"/>
  <c r="AS111" i="8"/>
  <c r="AS110" i="8"/>
  <c r="AS109" i="8"/>
  <c r="AS108" i="8"/>
  <c r="AS107" i="8"/>
  <c r="B107" i="8"/>
  <c r="AS106" i="8"/>
  <c r="AS105" i="8"/>
  <c r="AS104" i="8"/>
  <c r="AS103" i="8"/>
  <c r="AS102" i="8"/>
  <c r="AS101" i="8"/>
  <c r="AS100" i="8"/>
  <c r="AS99" i="8"/>
  <c r="AS98" i="8"/>
  <c r="AS97" i="8"/>
  <c r="AS96" i="8"/>
  <c r="AS95" i="8"/>
  <c r="AS94" i="8"/>
  <c r="AS93" i="8"/>
  <c r="AI93" i="8"/>
  <c r="AI99" i="8" s="1"/>
  <c r="AH93" i="8"/>
  <c r="AH95" i="8" s="1"/>
  <c r="J81" i="8" s="1"/>
  <c r="AG93" i="8"/>
  <c r="AG99" i="8" s="1"/>
  <c r="AF93" i="8"/>
  <c r="AF99" i="8" s="1"/>
  <c r="AE93" i="8"/>
  <c r="AE95" i="8" s="1"/>
  <c r="G81" i="8" s="1"/>
  <c r="AD93" i="8"/>
  <c r="AD95" i="8" s="1"/>
  <c r="F81" i="8" s="1"/>
  <c r="AC93" i="8"/>
  <c r="AC99" i="8" s="1"/>
  <c r="AB93" i="8"/>
  <c r="AB99" i="8" s="1"/>
  <c r="AA93" i="8"/>
  <c r="AA95" i="8" s="1"/>
  <c r="K75" i="8" s="1"/>
  <c r="Z93" i="8"/>
  <c r="Z95" i="8" s="1"/>
  <c r="J75" i="8" s="1"/>
  <c r="Y93" i="8"/>
  <c r="Y99" i="8" s="1"/>
  <c r="W93" i="8"/>
  <c r="W95" i="8" s="1"/>
  <c r="G75" i="8" s="1"/>
  <c r="V93" i="8"/>
  <c r="V95" i="8" s="1"/>
  <c r="F75" i="8" s="1"/>
  <c r="U93" i="8"/>
  <c r="U99" i="8" s="1"/>
  <c r="AS92" i="8"/>
  <c r="AI92" i="8"/>
  <c r="AH92" i="8"/>
  <c r="AG92" i="8"/>
  <c r="AF92" i="8"/>
  <c r="AE92" i="8"/>
  <c r="AD92" i="8"/>
  <c r="AC92" i="8"/>
  <c r="AB92" i="8"/>
  <c r="AA92" i="8"/>
  <c r="Z92" i="8"/>
  <c r="Y92" i="8"/>
  <c r="X92" i="8"/>
  <c r="W92" i="8"/>
  <c r="V92" i="8"/>
  <c r="U92" i="8"/>
  <c r="T92" i="8"/>
  <c r="AS91" i="8"/>
  <c r="AS90" i="8"/>
  <c r="AS89" i="8"/>
  <c r="AS88" i="8"/>
  <c r="AS87" i="8"/>
  <c r="AS86" i="8"/>
  <c r="AA86" i="8"/>
  <c r="Z86" i="8"/>
  <c r="Y86" i="8"/>
  <c r="X86" i="8"/>
  <c r="W86" i="8"/>
  <c r="V86" i="8"/>
  <c r="U86" i="8"/>
  <c r="T86" i="8"/>
  <c r="AS85" i="8"/>
  <c r="AS84" i="8"/>
  <c r="AA84" i="8"/>
  <c r="Z84" i="8"/>
  <c r="Y84" i="8"/>
  <c r="X84" i="8"/>
  <c r="W84" i="8"/>
  <c r="V84" i="8"/>
  <c r="U84" i="8"/>
  <c r="T84" i="8"/>
  <c r="AS83" i="8"/>
  <c r="AS82" i="8"/>
  <c r="AS81" i="8"/>
  <c r="AS80" i="8"/>
  <c r="AA80" i="8"/>
  <c r="Z80" i="8"/>
  <c r="Y80" i="8"/>
  <c r="W80" i="8"/>
  <c r="V80" i="8"/>
  <c r="U80" i="8"/>
  <c r="AS79" i="8"/>
  <c r="AS78" i="8"/>
  <c r="AA78" i="8"/>
  <c r="Z78" i="8"/>
  <c r="Y78" i="8"/>
  <c r="X78" i="8"/>
  <c r="W78" i="8"/>
  <c r="V78" i="8"/>
  <c r="U78" i="8"/>
  <c r="T78" i="8"/>
  <c r="AS77" i="8"/>
  <c r="AS76" i="8"/>
  <c r="AS75" i="8"/>
  <c r="AS74" i="8"/>
  <c r="AS73" i="8"/>
  <c r="AS72" i="8"/>
  <c r="AS71" i="8"/>
  <c r="AS70" i="8"/>
  <c r="AS69" i="8"/>
  <c r="AS68" i="8"/>
  <c r="AS67" i="8"/>
  <c r="AS66" i="8"/>
  <c r="AS65" i="8"/>
  <c r="AS64" i="8"/>
  <c r="AS63" i="8"/>
  <c r="B63" i="8"/>
  <c r="AS62" i="8"/>
  <c r="AS61" i="8"/>
  <c r="AS60" i="8"/>
  <c r="AS59" i="8"/>
  <c r="AS58" i="8"/>
  <c r="AS57" i="8"/>
  <c r="AS56" i="8"/>
  <c r="AS55" i="8"/>
  <c r="AS54" i="8"/>
  <c r="AS53" i="8"/>
  <c r="AS52" i="8"/>
  <c r="AS51" i="8"/>
  <c r="AS50" i="8"/>
  <c r="AS49" i="8"/>
  <c r="AS48" i="8"/>
  <c r="AS47" i="8"/>
  <c r="AS46" i="8"/>
  <c r="AN46" i="8"/>
  <c r="AS45" i="8"/>
  <c r="AN45" i="8"/>
  <c r="AS43" i="8"/>
  <c r="AS42" i="8"/>
  <c r="AS41" i="8"/>
  <c r="AS40" i="8"/>
  <c r="AS39" i="8"/>
  <c r="AS38" i="8"/>
  <c r="AS37" i="8"/>
  <c r="AS36" i="8"/>
  <c r="AS35" i="8"/>
  <c r="AS34" i="8"/>
  <c r="AS33" i="8"/>
  <c r="AS32" i="8"/>
  <c r="AS31" i="8"/>
  <c r="AS30" i="8"/>
  <c r="AS29" i="8"/>
  <c r="AS28" i="8"/>
  <c r="AS27" i="8"/>
  <c r="AS25" i="8"/>
  <c r="AS24" i="8"/>
  <c r="AS23" i="8"/>
  <c r="AS22" i="8"/>
  <c r="AS21" i="8"/>
  <c r="AS20" i="8"/>
  <c r="AS19" i="8"/>
  <c r="AS18" i="8"/>
  <c r="AS17" i="8"/>
  <c r="AS16" i="8"/>
  <c r="AS15" i="8"/>
  <c r="AS14" i="8"/>
  <c r="D14" i="8"/>
  <c r="D73" i="8" s="1"/>
  <c r="AS13" i="8"/>
  <c r="D13" i="8"/>
  <c r="D20" i="8" s="1"/>
  <c r="D31" i="8" s="1"/>
  <c r="AS12" i="8"/>
  <c r="D12" i="8"/>
  <c r="AS11" i="8"/>
  <c r="O11" i="8"/>
  <c r="AS10" i="8"/>
  <c r="O10" i="8"/>
  <c r="AS9" i="8"/>
  <c r="AS8" i="8"/>
  <c r="AS7" i="8"/>
  <c r="AS6" i="8"/>
  <c r="AS5" i="8"/>
  <c r="AS4" i="8"/>
  <c r="AO4" i="8"/>
  <c r="AZ4" i="8" s="1"/>
  <c r="AZ3" i="8"/>
  <c r="AS3" i="8"/>
  <c r="AX23" i="9" l="1"/>
  <c r="AY23" i="9" s="1"/>
  <c r="BA23" i="9" s="1"/>
  <c r="AV24" i="9"/>
  <c r="AW24" i="9"/>
  <c r="AO26" i="9"/>
  <c r="AZ25" i="9"/>
  <c r="AQ25" i="9"/>
  <c r="AP25" i="9"/>
  <c r="AR25" i="9"/>
  <c r="AU25" i="9" s="1"/>
  <c r="D85" i="8"/>
  <c r="H73" i="8"/>
  <c r="D76" i="8"/>
  <c r="I92" i="8" s="1"/>
  <c r="BL92" i="8" s="1"/>
  <c r="BM92" i="8" s="1"/>
  <c r="O14" i="8"/>
  <c r="O12" i="8"/>
  <c r="AI95" i="8"/>
  <c r="K81" i="8" s="1"/>
  <c r="W99" i="8"/>
  <c r="AA99" i="8"/>
  <c r="D17" i="8"/>
  <c r="D21" i="8"/>
  <c r="AE99" i="8"/>
  <c r="V99" i="8"/>
  <c r="X87" i="8"/>
  <c r="T87" i="8"/>
  <c r="AA87" i="8"/>
  <c r="W87" i="8"/>
  <c r="AP4" i="8"/>
  <c r="D23" i="8"/>
  <c r="AR3" i="8" s="1"/>
  <c r="AP3" i="8"/>
  <c r="AO5" i="8"/>
  <c r="U81" i="8"/>
  <c r="Y81" i="8"/>
  <c r="V87" i="8"/>
  <c r="Z87" i="8"/>
  <c r="V81" i="8"/>
  <c r="Z81" i="8"/>
  <c r="W81" i="8"/>
  <c r="AA81" i="8"/>
  <c r="T93" i="8"/>
  <c r="T80" i="8"/>
  <c r="U87" i="8"/>
  <c r="Y87" i="8"/>
  <c r="AD99" i="8"/>
  <c r="AB95" i="8"/>
  <c r="D81" i="8" s="1"/>
  <c r="AF95" i="8"/>
  <c r="H81" i="8" s="1"/>
  <c r="Z99" i="8"/>
  <c r="U95" i="8"/>
  <c r="E75" i="8" s="1"/>
  <c r="Y95" i="8"/>
  <c r="I75" i="8" s="1"/>
  <c r="AC95" i="8"/>
  <c r="E81" i="8" s="1"/>
  <c r="AG95" i="8"/>
  <c r="I81" i="8" s="1"/>
  <c r="AH99" i="8"/>
  <c r="B176" i="2"/>
  <c r="B173" i="2"/>
  <c r="B171" i="2"/>
  <c r="B177" i="3"/>
  <c r="B174" i="3"/>
  <c r="AX24" i="9" l="1"/>
  <c r="AY24" i="9" s="1"/>
  <c r="BA24" i="9" s="1"/>
  <c r="AV25" i="9"/>
  <c r="AW25" i="9"/>
  <c r="AZ26" i="9"/>
  <c r="AQ26" i="9"/>
  <c r="AO27" i="9"/>
  <c r="AP26" i="9"/>
  <c r="AR26" i="9"/>
  <c r="AU26" i="9" s="1"/>
  <c r="H76" i="8"/>
  <c r="I96" i="8" s="1"/>
  <c r="BL96" i="8" s="1"/>
  <c r="BM96" i="8" s="1"/>
  <c r="BM108" i="8" s="1"/>
  <c r="BM109" i="8" s="1"/>
  <c r="I108" i="8" s="1"/>
  <c r="X93" i="8"/>
  <c r="X80" i="8"/>
  <c r="X81" i="8" s="1"/>
  <c r="L22" i="8"/>
  <c r="E80" i="8"/>
  <c r="U85" i="8" s="1"/>
  <c r="I80" i="8"/>
  <c r="Y85" i="8" s="1"/>
  <c r="E74" i="8"/>
  <c r="U79" i="8" s="1"/>
  <c r="I74" i="8"/>
  <c r="Y79" i="8" s="1"/>
  <c r="F80" i="8"/>
  <c r="V85" i="8" s="1"/>
  <c r="J80" i="8"/>
  <c r="Z85" i="8" s="1"/>
  <c r="F74" i="8"/>
  <c r="V79" i="8" s="1"/>
  <c r="J74" i="8"/>
  <c r="Z79" i="8" s="1"/>
  <c r="G80" i="8"/>
  <c r="W85" i="8" s="1"/>
  <c r="K80" i="8"/>
  <c r="AA85" i="8" s="1"/>
  <c r="G74" i="8"/>
  <c r="W79" i="8" s="1"/>
  <c r="K74" i="8"/>
  <c r="AA79" i="8" s="1"/>
  <c r="H80" i="8"/>
  <c r="X85" i="8" s="1"/>
  <c r="D80" i="8"/>
  <c r="T85" i="8" s="1"/>
  <c r="H74" i="8"/>
  <c r="X79" i="8" s="1"/>
  <c r="D74" i="8"/>
  <c r="T79" i="8" s="1"/>
  <c r="D36" i="8"/>
  <c r="D34" i="8"/>
  <c r="D35" i="8" s="1"/>
  <c r="B97" i="8" s="1"/>
  <c r="D24" i="8"/>
  <c r="L97" i="8" s="1"/>
  <c r="D25" i="8"/>
  <c r="D26" i="8" s="1"/>
  <c r="L96" i="8" s="1"/>
  <c r="T81" i="8"/>
  <c r="D40" i="8" s="1"/>
  <c r="D15" i="8"/>
  <c r="D18" i="8" s="1"/>
  <c r="AO6" i="8"/>
  <c r="AR6" i="8" s="1"/>
  <c r="AZ5" i="8"/>
  <c r="AH94" i="8"/>
  <c r="AD94" i="8"/>
  <c r="Z94" i="8"/>
  <c r="V94" i="8"/>
  <c r="AG94" i="8"/>
  <c r="AC94" i="8"/>
  <c r="Y94" i="8"/>
  <c r="U94" i="8"/>
  <c r="AF94" i="8"/>
  <c r="AB94" i="8"/>
  <c r="X94" i="8"/>
  <c r="T94" i="8"/>
  <c r="AI94" i="8"/>
  <c r="AE94" i="8"/>
  <c r="AA94" i="8"/>
  <c r="W94" i="8"/>
  <c r="AR5" i="8"/>
  <c r="AU5" i="8" s="1"/>
  <c r="AR4" i="8"/>
  <c r="AU3" i="8"/>
  <c r="AP5" i="8"/>
  <c r="T99" i="8"/>
  <c r="T95" i="8"/>
  <c r="D75" i="8" s="1"/>
  <c r="D169" i="8"/>
  <c r="D33" i="8"/>
  <c r="B172" i="3"/>
  <c r="AQ3" i="2"/>
  <c r="AO4" i="2"/>
  <c r="AZ3" i="2"/>
  <c r="B138" i="2"/>
  <c r="AX25" i="9" l="1"/>
  <c r="AY25" i="9" s="1"/>
  <c r="BA25" i="9" s="1"/>
  <c r="AW26" i="9"/>
  <c r="AV26" i="9"/>
  <c r="AO28" i="9"/>
  <c r="AZ27" i="9"/>
  <c r="AQ27" i="9"/>
  <c r="AP27" i="9"/>
  <c r="AR27" i="9"/>
  <c r="AU27" i="9" s="1"/>
  <c r="D39" i="8"/>
  <c r="X95" i="8"/>
  <c r="H75" i="8" s="1"/>
  <c r="X99" i="8"/>
  <c r="AM99" i="8" s="1"/>
  <c r="D86" i="8" s="1"/>
  <c r="E46" i="8"/>
  <c r="B100" i="8"/>
  <c r="D38" i="8"/>
  <c r="D47" i="8" s="1"/>
  <c r="E47" i="8" s="1"/>
  <c r="AZ4" i="2"/>
  <c r="AQ4" i="2"/>
  <c r="D37" i="8"/>
  <c r="D46" i="8" s="1"/>
  <c r="B101" i="8"/>
  <c r="D170" i="8"/>
  <c r="E170" i="8" s="1"/>
  <c r="AB100" i="8"/>
  <c r="AF100" i="8"/>
  <c r="T100" i="8"/>
  <c r="D174" i="8" s="1"/>
  <c r="E174" i="8" s="1"/>
  <c r="U100" i="8"/>
  <c r="Y100" i="8"/>
  <c r="AC100" i="8"/>
  <c r="AG100" i="8"/>
  <c r="Z100" i="8"/>
  <c r="AH100" i="8"/>
  <c r="W100" i="8"/>
  <c r="AE100" i="8"/>
  <c r="AI100" i="8"/>
  <c r="V100" i="8"/>
  <c r="AD100" i="8"/>
  <c r="AA100" i="8"/>
  <c r="AU4" i="8"/>
  <c r="AW4" i="8" s="1"/>
  <c r="AN47" i="8"/>
  <c r="K32" i="8"/>
  <c r="K33" i="8" s="1"/>
  <c r="B95" i="8" s="1"/>
  <c r="AN48" i="8"/>
  <c r="AV3" i="8"/>
  <c r="AW3" i="8"/>
  <c r="E169" i="8"/>
  <c r="AU6" i="8"/>
  <c r="AZ6" i="8"/>
  <c r="AO7" i="8"/>
  <c r="AP6" i="8"/>
  <c r="AV5" i="8"/>
  <c r="AW5" i="8"/>
  <c r="AO5" i="2"/>
  <c r="AQ5" i="2" s="1"/>
  <c r="B139" i="3"/>
  <c r="B62" i="3"/>
  <c r="AX26" i="9" l="1"/>
  <c r="AY26" i="9" s="1"/>
  <c r="BA26" i="9" s="1"/>
  <c r="X100" i="8"/>
  <c r="AV27" i="9"/>
  <c r="AW27" i="9"/>
  <c r="AO29" i="9"/>
  <c r="AZ28" i="9"/>
  <c r="AQ28" i="9"/>
  <c r="AP28" i="9"/>
  <c r="AR28" i="9"/>
  <c r="AU28" i="9" s="1"/>
  <c r="I47" i="8"/>
  <c r="J47" i="8"/>
  <c r="I46" i="8"/>
  <c r="J46" i="8"/>
  <c r="D175" i="8"/>
  <c r="E175" i="8" s="1"/>
  <c r="AV4" i="8"/>
  <c r="AX4" i="8" s="1"/>
  <c r="AY4" i="8" s="1"/>
  <c r="BA4" i="8" s="1"/>
  <c r="D177" i="8"/>
  <c r="AX3" i="8"/>
  <c r="AY3" i="8" s="1"/>
  <c r="BA3" i="8" s="1"/>
  <c r="AV6" i="8"/>
  <c r="AW6" i="8"/>
  <c r="AX5" i="8"/>
  <c r="AY5" i="8" s="1"/>
  <c r="BA5" i="8" s="1"/>
  <c r="AO8" i="8"/>
  <c r="AZ7" i="8"/>
  <c r="AP7" i="8"/>
  <c r="AR7" i="8"/>
  <c r="AZ5" i="2"/>
  <c r="AO6" i="2"/>
  <c r="AQ6" i="2" s="1"/>
  <c r="AZ3" i="3"/>
  <c r="AO4" i="3"/>
  <c r="D14" i="3"/>
  <c r="D13" i="3"/>
  <c r="D14" i="2"/>
  <c r="D13" i="2"/>
  <c r="D22" i="2" s="1"/>
  <c r="X32" i="2" s="1"/>
  <c r="AX27" i="9" l="1"/>
  <c r="AY27" i="9" s="1"/>
  <c r="BA27" i="9" s="1"/>
  <c r="AV28" i="9"/>
  <c r="AW28" i="9"/>
  <c r="AO30" i="9"/>
  <c r="AZ29" i="9"/>
  <c r="AQ29" i="9"/>
  <c r="AP29" i="9"/>
  <c r="AR29" i="9"/>
  <c r="AU29" i="9" s="1"/>
  <c r="AO5" i="3"/>
  <c r="AZ5" i="3" s="1"/>
  <c r="AZ4" i="3"/>
  <c r="D178" i="8"/>
  <c r="E178" i="8" s="1"/>
  <c r="E177" i="8"/>
  <c r="AU7" i="8"/>
  <c r="AO9" i="8"/>
  <c r="AZ8" i="8"/>
  <c r="AP8" i="8"/>
  <c r="AR8" i="8"/>
  <c r="AU8" i="8" s="1"/>
  <c r="AX6" i="8"/>
  <c r="AY6" i="8" s="1"/>
  <c r="BA6" i="8" s="1"/>
  <c r="AZ6" i="2"/>
  <c r="AO7" i="2"/>
  <c r="AQ7" i="2" s="1"/>
  <c r="AX28" i="9" l="1"/>
  <c r="AY28" i="9" s="1"/>
  <c r="BA28" i="9" s="1"/>
  <c r="AV29" i="9"/>
  <c r="AW29" i="9"/>
  <c r="AO31" i="9"/>
  <c r="AZ30" i="9"/>
  <c r="AQ30" i="9"/>
  <c r="AP30" i="9"/>
  <c r="AR30" i="9"/>
  <c r="AU30" i="9" s="1"/>
  <c r="AO6" i="3"/>
  <c r="AZ6" i="3" s="1"/>
  <c r="D179" i="8"/>
  <c r="E179" i="8" s="1"/>
  <c r="AV8" i="8"/>
  <c r="AW8" i="8"/>
  <c r="AZ9" i="8"/>
  <c r="AO10" i="8"/>
  <c r="AP9" i="8"/>
  <c r="AR9" i="8"/>
  <c r="AV7" i="8"/>
  <c r="AW7" i="8"/>
  <c r="AZ7" i="2"/>
  <c r="AO8" i="2"/>
  <c r="AQ8" i="2" s="1"/>
  <c r="AV30" i="9" l="1"/>
  <c r="AW30" i="9"/>
  <c r="AZ31" i="9"/>
  <c r="AQ31" i="9"/>
  <c r="AO32" i="9"/>
  <c r="AP31" i="9"/>
  <c r="AR31" i="9"/>
  <c r="AU31" i="9" s="1"/>
  <c r="AX29" i="9"/>
  <c r="AY29" i="9" s="1"/>
  <c r="BA29" i="9" s="1"/>
  <c r="AO7" i="3"/>
  <c r="AZ7" i="3" s="1"/>
  <c r="AX7" i="8"/>
  <c r="AY7" i="8" s="1"/>
  <c r="BA7" i="8" s="1"/>
  <c r="AO11" i="8"/>
  <c r="AZ10" i="8"/>
  <c r="AP10" i="8"/>
  <c r="AR10" i="8"/>
  <c r="AU10" i="8" s="1"/>
  <c r="AU9" i="8"/>
  <c r="AX8" i="8"/>
  <c r="AY8" i="8" s="1"/>
  <c r="BA8" i="8" s="1"/>
  <c r="AZ8" i="2"/>
  <c r="AO9" i="2"/>
  <c r="AQ9" i="2" s="1"/>
  <c r="AV31" i="9" l="1"/>
  <c r="AX31" i="9" s="1"/>
  <c r="AY31" i="9" s="1"/>
  <c r="BA31" i="9" s="1"/>
  <c r="AW31" i="9"/>
  <c r="AO33" i="9"/>
  <c r="AZ32" i="9"/>
  <c r="AQ32" i="9"/>
  <c r="AP32" i="9"/>
  <c r="AR32" i="9"/>
  <c r="AU32" i="9" s="1"/>
  <c r="AX30" i="9"/>
  <c r="AY30" i="9" s="1"/>
  <c r="BA30" i="9" s="1"/>
  <c r="AO8" i="3"/>
  <c r="AZ8" i="3" s="1"/>
  <c r="AV9" i="8"/>
  <c r="AW9" i="8"/>
  <c r="AW10" i="8"/>
  <c r="AV10" i="8"/>
  <c r="AO12" i="8"/>
  <c r="AZ11" i="8"/>
  <c r="AP11" i="8"/>
  <c r="AR11" i="8"/>
  <c r="AZ9" i="2"/>
  <c r="AO10" i="2"/>
  <c r="AQ10" i="2" s="1"/>
  <c r="AO9" i="3" l="1"/>
  <c r="AZ9" i="3" s="1"/>
  <c r="AV32" i="9"/>
  <c r="AW32" i="9"/>
  <c r="AO34" i="9"/>
  <c r="AZ33" i="9"/>
  <c r="AQ33" i="9"/>
  <c r="AP33" i="9"/>
  <c r="AR33" i="9"/>
  <c r="AU33" i="9" s="1"/>
  <c r="AX9" i="8"/>
  <c r="AY9" i="8" s="1"/>
  <c r="BA9" i="8" s="1"/>
  <c r="AU11" i="8"/>
  <c r="AV11" i="8" s="1"/>
  <c r="AX10" i="8"/>
  <c r="AY10" i="8" s="1"/>
  <c r="BA10" i="8" s="1"/>
  <c r="AZ12" i="8"/>
  <c r="AO13" i="8"/>
  <c r="AP12" i="8"/>
  <c r="AR12" i="8"/>
  <c r="AZ10" i="2"/>
  <c r="AO11" i="2"/>
  <c r="AQ11" i="2" s="1"/>
  <c r="AO10" i="3"/>
  <c r="AZ10" i="3" s="1"/>
  <c r="AX32" i="9" l="1"/>
  <c r="AY32" i="9" s="1"/>
  <c r="BA32" i="9" s="1"/>
  <c r="AW33" i="9"/>
  <c r="AV33" i="9"/>
  <c r="AQ34" i="9"/>
  <c r="AZ34" i="9"/>
  <c r="AO35" i="9"/>
  <c r="AP34" i="9"/>
  <c r="AR34" i="9"/>
  <c r="AU34" i="9" s="1"/>
  <c r="AU12" i="8"/>
  <c r="AV12" i="8" s="1"/>
  <c r="AW11" i="8"/>
  <c r="AX11" i="8" s="1"/>
  <c r="AY11" i="8" s="1"/>
  <c r="BA11" i="8" s="1"/>
  <c r="AO14" i="8"/>
  <c r="AZ13" i="8"/>
  <c r="AP13" i="8"/>
  <c r="AR13" i="8"/>
  <c r="AU13" i="8" s="1"/>
  <c r="AZ11" i="2"/>
  <c r="AO12" i="2"/>
  <c r="AQ12" i="2" s="1"/>
  <c r="AO11" i="3"/>
  <c r="AZ11" i="3" s="1"/>
  <c r="AX33" i="9" l="1"/>
  <c r="AY33" i="9" s="1"/>
  <c r="BA33" i="9" s="1"/>
  <c r="AV34" i="9"/>
  <c r="AX34" i="9" s="1"/>
  <c r="AY34" i="9" s="1"/>
  <c r="BA34" i="9" s="1"/>
  <c r="AW34" i="9"/>
  <c r="AO36" i="9"/>
  <c r="AQ35" i="9"/>
  <c r="AZ35" i="9"/>
  <c r="AP35" i="9"/>
  <c r="AR35" i="9"/>
  <c r="AU35" i="9" s="1"/>
  <c r="AW12" i="8"/>
  <c r="AX12" i="8" s="1"/>
  <c r="AY12" i="8" s="1"/>
  <c r="BA12" i="8" s="1"/>
  <c r="AV13" i="8"/>
  <c r="AW13" i="8"/>
  <c r="AZ14" i="8"/>
  <c r="AO15" i="8"/>
  <c r="AP14" i="8"/>
  <c r="AR14" i="8"/>
  <c r="AZ12" i="2"/>
  <c r="AO13" i="2"/>
  <c r="AQ13" i="2" s="1"/>
  <c r="AO12" i="3"/>
  <c r="AZ12" i="3" s="1"/>
  <c r="B62" i="2"/>
  <c r="AV35" i="9" l="1"/>
  <c r="AX35" i="9" s="1"/>
  <c r="AY35" i="9" s="1"/>
  <c r="BA35" i="9" s="1"/>
  <c r="AW35" i="9"/>
  <c r="AQ36" i="9"/>
  <c r="AZ36" i="9"/>
  <c r="AO37" i="9"/>
  <c r="AP36" i="9"/>
  <c r="AR36" i="9"/>
  <c r="AU36" i="9" s="1"/>
  <c r="AX13" i="8"/>
  <c r="AY13" i="8" s="1"/>
  <c r="BA13" i="8" s="1"/>
  <c r="AU14" i="8"/>
  <c r="AO16" i="8"/>
  <c r="AZ15" i="8"/>
  <c r="AP15" i="8"/>
  <c r="AR15" i="8"/>
  <c r="AZ13" i="2"/>
  <c r="AO14" i="2"/>
  <c r="AQ14" i="2" s="1"/>
  <c r="AO13" i="3"/>
  <c r="AZ13" i="3" s="1"/>
  <c r="O13" i="3"/>
  <c r="O12" i="3"/>
  <c r="O11" i="3"/>
  <c r="AD44" i="2"/>
  <c r="AD42" i="2"/>
  <c r="D12" i="2"/>
  <c r="AV36" i="9" l="1"/>
  <c r="AW36" i="9"/>
  <c r="AO38" i="9"/>
  <c r="AZ37" i="9"/>
  <c r="AQ37" i="9"/>
  <c r="AP37" i="9"/>
  <c r="AR37" i="9"/>
  <c r="AU37" i="9" s="1"/>
  <c r="AU15" i="8"/>
  <c r="AV15" i="8" s="1"/>
  <c r="AO17" i="8"/>
  <c r="AZ16" i="8"/>
  <c r="AP16" i="8"/>
  <c r="AR16" i="8"/>
  <c r="AW14" i="8"/>
  <c r="AV14" i="8"/>
  <c r="AZ14" i="2"/>
  <c r="AO15" i="2"/>
  <c r="AQ15" i="2" s="1"/>
  <c r="O15" i="3"/>
  <c r="AO14" i="3"/>
  <c r="AZ14" i="3" s="1"/>
  <c r="O14" i="3"/>
  <c r="O11" i="2"/>
  <c r="O10" i="2"/>
  <c r="AX36" i="9" l="1"/>
  <c r="AY36" i="9" s="1"/>
  <c r="BA36" i="9" s="1"/>
  <c r="AV37" i="9"/>
  <c r="AW37" i="9"/>
  <c r="AQ38" i="9"/>
  <c r="AZ38" i="9"/>
  <c r="AO39" i="9"/>
  <c r="AP38" i="9"/>
  <c r="AR38" i="9"/>
  <c r="AU38" i="9" s="1"/>
  <c r="AX14" i="8"/>
  <c r="AY14" i="8" s="1"/>
  <c r="BA14" i="8" s="1"/>
  <c r="AW15" i="8"/>
  <c r="AX15" i="8" s="1"/>
  <c r="AY15" i="8" s="1"/>
  <c r="BA15" i="8" s="1"/>
  <c r="AU16" i="8"/>
  <c r="AO18" i="8"/>
  <c r="AZ17" i="8"/>
  <c r="AP17" i="8"/>
  <c r="AR17" i="8"/>
  <c r="AZ15" i="2"/>
  <c r="AO16" i="2"/>
  <c r="AQ16" i="2" s="1"/>
  <c r="AO15" i="3"/>
  <c r="AZ15" i="3" s="1"/>
  <c r="O14" i="2"/>
  <c r="O12" i="2"/>
  <c r="AX37" i="9" l="1"/>
  <c r="AY37" i="9" s="1"/>
  <c r="BA37" i="9" s="1"/>
  <c r="AZ39" i="9"/>
  <c r="AQ39" i="9"/>
  <c r="AO40" i="9"/>
  <c r="AP39" i="9"/>
  <c r="AR39" i="9"/>
  <c r="AU39" i="9" s="1"/>
  <c r="AV38" i="9"/>
  <c r="AW38" i="9"/>
  <c r="AU17" i="8"/>
  <c r="AV17" i="8" s="1"/>
  <c r="AZ18" i="8"/>
  <c r="AO19" i="8"/>
  <c r="AP18" i="8"/>
  <c r="AR18" i="8"/>
  <c r="AU18" i="8" s="1"/>
  <c r="AV16" i="8"/>
  <c r="AW16" i="8"/>
  <c r="AZ16" i="2"/>
  <c r="AO17" i="2"/>
  <c r="AQ17" i="2" s="1"/>
  <c r="AO16" i="3"/>
  <c r="AZ16" i="3" s="1"/>
  <c r="D13" i="5"/>
  <c r="D11" i="5"/>
  <c r="AX38" i="9" l="1"/>
  <c r="AY38" i="9" s="1"/>
  <c r="BA38" i="9" s="1"/>
  <c r="AV39" i="9"/>
  <c r="AW39" i="9"/>
  <c r="AZ40" i="9"/>
  <c r="AQ40" i="9"/>
  <c r="AO41" i="9"/>
  <c r="AP40" i="9"/>
  <c r="AR40" i="9"/>
  <c r="AU40" i="9" s="1"/>
  <c r="D23" i="5"/>
  <c r="D22" i="5"/>
  <c r="D25" i="5" s="1"/>
  <c r="D12" i="5"/>
  <c r="D19" i="5" s="1"/>
  <c r="D20" i="5"/>
  <c r="AW17" i="8"/>
  <c r="AX17" i="8" s="1"/>
  <c r="AY17" i="8" s="1"/>
  <c r="BA17" i="8" s="1"/>
  <c r="AX16" i="8"/>
  <c r="AY16" i="8" s="1"/>
  <c r="BA16" i="8" s="1"/>
  <c r="AZ19" i="8"/>
  <c r="AO20" i="8"/>
  <c r="AP19" i="8"/>
  <c r="AR19" i="8"/>
  <c r="AU19" i="8" s="1"/>
  <c r="AV18" i="8"/>
  <c r="AW18" i="8"/>
  <c r="AZ17" i="2"/>
  <c r="AO18" i="2"/>
  <c r="AQ18" i="2" s="1"/>
  <c r="AO17" i="3"/>
  <c r="AZ17" i="3" s="1"/>
  <c r="S67" i="3"/>
  <c r="S68" i="3" s="1"/>
  <c r="D12" i="3"/>
  <c r="AX39" i="9" l="1"/>
  <c r="AY39" i="9" s="1"/>
  <c r="BA39" i="9" s="1"/>
  <c r="AV40" i="9"/>
  <c r="AW40" i="9"/>
  <c r="AZ41" i="9"/>
  <c r="AQ41" i="9"/>
  <c r="AO42" i="9"/>
  <c r="AP41" i="9"/>
  <c r="AR41" i="9"/>
  <c r="AU41" i="9" s="1"/>
  <c r="AX18" i="8"/>
  <c r="AY18" i="8" s="1"/>
  <c r="BA18" i="8" s="1"/>
  <c r="AZ20" i="8"/>
  <c r="AO21" i="8"/>
  <c r="AP20" i="8"/>
  <c r="AR20" i="8"/>
  <c r="AV19" i="8"/>
  <c r="AW19" i="8"/>
  <c r="AZ18" i="2"/>
  <c r="AO19" i="2"/>
  <c r="AQ19" i="2" s="1"/>
  <c r="AO18" i="3"/>
  <c r="AZ18" i="3" s="1"/>
  <c r="AN44" i="3"/>
  <c r="AN42" i="3"/>
  <c r="AH89" i="3"/>
  <c r="AH90" i="3" s="1"/>
  <c r="AG89" i="3"/>
  <c r="AG90" i="3" s="1"/>
  <c r="AF89" i="3"/>
  <c r="AF90" i="3" s="1"/>
  <c r="AE89" i="3"/>
  <c r="AE90" i="3" s="1"/>
  <c r="AD89" i="3"/>
  <c r="AD90" i="3" s="1"/>
  <c r="AC89" i="3"/>
  <c r="AC90" i="3" s="1"/>
  <c r="AB89" i="3"/>
  <c r="AB90" i="3" s="1"/>
  <c r="AA89" i="3"/>
  <c r="AA90" i="3" s="1"/>
  <c r="Z89" i="3"/>
  <c r="Z90" i="3" s="1"/>
  <c r="Y89" i="3"/>
  <c r="Y90" i="3" s="1"/>
  <c r="X89" i="3"/>
  <c r="X90" i="3" s="1"/>
  <c r="W89" i="3"/>
  <c r="W90" i="3" s="1"/>
  <c r="V89" i="3"/>
  <c r="V90" i="3" s="1"/>
  <c r="U89" i="3"/>
  <c r="U90" i="3" s="1"/>
  <c r="T89" i="3"/>
  <c r="T90" i="3" s="1"/>
  <c r="AH88" i="3"/>
  <c r="AG88" i="3"/>
  <c r="AF88" i="3"/>
  <c r="AE88" i="3"/>
  <c r="AD88" i="3"/>
  <c r="AC88" i="3"/>
  <c r="AB88" i="3"/>
  <c r="AA88" i="3"/>
  <c r="Z88" i="3"/>
  <c r="Y88" i="3"/>
  <c r="X88" i="3"/>
  <c r="W88" i="3"/>
  <c r="U88" i="3"/>
  <c r="T88" i="3"/>
  <c r="S88" i="3"/>
  <c r="Z82" i="3"/>
  <c r="Y82" i="3"/>
  <c r="X82" i="3"/>
  <c r="W82" i="3"/>
  <c r="V82" i="3"/>
  <c r="U82" i="3"/>
  <c r="T82" i="3"/>
  <c r="S82" i="3"/>
  <c r="Z80" i="3"/>
  <c r="Y80" i="3"/>
  <c r="X80" i="3"/>
  <c r="W80" i="3"/>
  <c r="V80" i="3"/>
  <c r="U80" i="3"/>
  <c r="T80" i="3"/>
  <c r="S80" i="3"/>
  <c r="Z76" i="3"/>
  <c r="Y76" i="3"/>
  <c r="X76" i="3"/>
  <c r="W76" i="3"/>
  <c r="V76" i="3"/>
  <c r="U76" i="3"/>
  <c r="T76" i="3"/>
  <c r="Z74" i="3"/>
  <c r="Y74" i="3"/>
  <c r="X74" i="3"/>
  <c r="W74" i="3"/>
  <c r="V74" i="3"/>
  <c r="U74" i="3"/>
  <c r="T74" i="3"/>
  <c r="S74" i="3"/>
  <c r="AC92" i="2"/>
  <c r="AD92" i="2"/>
  <c r="AE92" i="2"/>
  <c r="AF92" i="2"/>
  <c r="AG92" i="2"/>
  <c r="AH92" i="2"/>
  <c r="AI92" i="2"/>
  <c r="AB92" i="2"/>
  <c r="U92" i="2"/>
  <c r="V92" i="2"/>
  <c r="W92" i="2"/>
  <c r="X92" i="2"/>
  <c r="Y92" i="2"/>
  <c r="Z92" i="2"/>
  <c r="AA92" i="2"/>
  <c r="AC91" i="2"/>
  <c r="AD91" i="2"/>
  <c r="AE91" i="2"/>
  <c r="AF91" i="2"/>
  <c r="AG91" i="2"/>
  <c r="AH91" i="2"/>
  <c r="AI91" i="2"/>
  <c r="AB91" i="2"/>
  <c r="U91" i="2"/>
  <c r="W91" i="2"/>
  <c r="X91" i="2"/>
  <c r="Y91" i="2"/>
  <c r="Z91" i="2"/>
  <c r="AA91" i="2"/>
  <c r="T91" i="2"/>
  <c r="AA85" i="2"/>
  <c r="Z85" i="2"/>
  <c r="Y85" i="2"/>
  <c r="X85" i="2"/>
  <c r="W85" i="2"/>
  <c r="V85" i="2"/>
  <c r="U85" i="2"/>
  <c r="T85" i="2"/>
  <c r="AA83" i="2"/>
  <c r="Z83" i="2"/>
  <c r="Y83" i="2"/>
  <c r="X83" i="2"/>
  <c r="W83" i="2"/>
  <c r="V83" i="2"/>
  <c r="U83" i="2"/>
  <c r="T83" i="2"/>
  <c r="AA79" i="2"/>
  <c r="Z79" i="2"/>
  <c r="Y79" i="2"/>
  <c r="X79" i="2"/>
  <c r="W79" i="2"/>
  <c r="V79" i="2"/>
  <c r="U79" i="2"/>
  <c r="AA77" i="2"/>
  <c r="Z77" i="2"/>
  <c r="Y77" i="2"/>
  <c r="X77" i="2"/>
  <c r="W77" i="2"/>
  <c r="V77" i="2"/>
  <c r="U77" i="2"/>
  <c r="T77" i="2"/>
  <c r="AX40" i="9" l="1"/>
  <c r="AY40" i="9" s="1"/>
  <c r="BA40" i="9" s="1"/>
  <c r="AW41" i="9"/>
  <c r="AV41" i="9"/>
  <c r="AO44" i="9"/>
  <c r="AZ42" i="9"/>
  <c r="AQ42" i="9"/>
  <c r="AP42" i="9"/>
  <c r="AR42" i="9"/>
  <c r="AU42" i="9" s="1"/>
  <c r="AF98" i="2"/>
  <c r="AG98" i="2"/>
  <c r="AD98" i="2"/>
  <c r="AH98" i="2"/>
  <c r="AC98" i="2"/>
  <c r="AE98" i="2"/>
  <c r="AI98" i="2"/>
  <c r="AB98" i="2"/>
  <c r="X98" i="2"/>
  <c r="Z98" i="2"/>
  <c r="AA98" i="2"/>
  <c r="Y98" i="2"/>
  <c r="V98" i="2"/>
  <c r="U98" i="2"/>
  <c r="W98" i="2"/>
  <c r="AX19" i="8"/>
  <c r="AY19" i="8" s="1"/>
  <c r="BA19" i="8" s="1"/>
  <c r="AU20" i="8"/>
  <c r="AV20" i="8" s="1"/>
  <c r="AO22" i="8"/>
  <c r="AZ21" i="8"/>
  <c r="AP21" i="8"/>
  <c r="AR21" i="8"/>
  <c r="AZ19" i="2"/>
  <c r="AO20" i="2"/>
  <c r="AQ20" i="2" s="1"/>
  <c r="AO19" i="3"/>
  <c r="AZ19" i="3" s="1"/>
  <c r="D33" i="2"/>
  <c r="D34" i="2" s="1"/>
  <c r="D33" i="3"/>
  <c r="D34" i="3" s="1"/>
  <c r="D22" i="3"/>
  <c r="Z31" i="3" s="1"/>
  <c r="D24" i="3"/>
  <c r="L101" i="3" s="1"/>
  <c r="D76" i="3"/>
  <c r="I96" i="3" s="1"/>
  <c r="BL96" i="3" s="1"/>
  <c r="BM96" i="3" s="1"/>
  <c r="BM112" i="3" s="1"/>
  <c r="BM113" i="3" s="1"/>
  <c r="I112" i="3" s="1"/>
  <c r="D72" i="2"/>
  <c r="I92" i="2" s="1"/>
  <c r="BL92" i="2" s="1"/>
  <c r="BM92" i="2" s="1"/>
  <c r="BM108" i="2" s="1"/>
  <c r="BM109" i="2" s="1"/>
  <c r="I108" i="2" s="1"/>
  <c r="AX41" i="9" l="1"/>
  <c r="AY41" i="9" s="1"/>
  <c r="BA41" i="9" s="1"/>
  <c r="AV42" i="9"/>
  <c r="AW42" i="9"/>
  <c r="AZ44" i="9"/>
  <c r="AQ44" i="9"/>
  <c r="AO45" i="9"/>
  <c r="AP44" i="9"/>
  <c r="AR44" i="9"/>
  <c r="AU44" i="9" s="1"/>
  <c r="AW20" i="8"/>
  <c r="AX20" i="8" s="1"/>
  <c r="AY20" i="8" s="1"/>
  <c r="BA20" i="8" s="1"/>
  <c r="AU21" i="8"/>
  <c r="AV21" i="8" s="1"/>
  <c r="AO23" i="8"/>
  <c r="AZ22" i="8"/>
  <c r="AP22" i="8"/>
  <c r="AR22" i="8"/>
  <c r="B98" i="2"/>
  <c r="D169" i="2"/>
  <c r="E169" i="2" s="1"/>
  <c r="AP4" i="3"/>
  <c r="AP6" i="3"/>
  <c r="AP8" i="3"/>
  <c r="AP10" i="3"/>
  <c r="AP12" i="3"/>
  <c r="AP14" i="3"/>
  <c r="AP16" i="3"/>
  <c r="AP18" i="3"/>
  <c r="AP5" i="3"/>
  <c r="AP7" i="3"/>
  <c r="AP9" i="3"/>
  <c r="AP11" i="3"/>
  <c r="AP13" i="3"/>
  <c r="AP15" i="3"/>
  <c r="AP17" i="3"/>
  <c r="AP19" i="3"/>
  <c r="AP3" i="3"/>
  <c r="B102" i="3"/>
  <c r="D170" i="3"/>
  <c r="E170" i="3" s="1"/>
  <c r="D35" i="2"/>
  <c r="AP4" i="2"/>
  <c r="AP3" i="2"/>
  <c r="AP5" i="2"/>
  <c r="AP6" i="2"/>
  <c r="AP7" i="2"/>
  <c r="AP8" i="2"/>
  <c r="AP9" i="2"/>
  <c r="AP10" i="2"/>
  <c r="AP11" i="2"/>
  <c r="AP12" i="2"/>
  <c r="AP13" i="2"/>
  <c r="AP14" i="2"/>
  <c r="AP15" i="2"/>
  <c r="AP16" i="2"/>
  <c r="AP17" i="2"/>
  <c r="AP18" i="2"/>
  <c r="AP19" i="2"/>
  <c r="AZ20" i="2"/>
  <c r="AP20" i="2"/>
  <c r="AO21" i="2"/>
  <c r="AQ21" i="2" s="1"/>
  <c r="D17" i="3"/>
  <c r="AC33" i="3" s="1"/>
  <c r="AR6" i="3"/>
  <c r="AR7" i="3"/>
  <c r="AR8" i="3"/>
  <c r="AR9" i="3"/>
  <c r="AR10" i="3"/>
  <c r="AR11" i="3"/>
  <c r="AR12" i="3"/>
  <c r="AR13" i="3"/>
  <c r="AR14" i="3"/>
  <c r="AR15" i="3"/>
  <c r="AR16" i="3"/>
  <c r="AR17" i="3"/>
  <c r="AR4" i="3"/>
  <c r="AR5" i="3"/>
  <c r="AR18" i="3"/>
  <c r="AR19" i="3"/>
  <c r="AR3" i="3"/>
  <c r="L22" i="3"/>
  <c r="AO20" i="3"/>
  <c r="AZ20" i="3" s="1"/>
  <c r="B89" i="3"/>
  <c r="B93" i="3"/>
  <c r="D23" i="3"/>
  <c r="Z24" i="3" s="1"/>
  <c r="H79" i="2"/>
  <c r="X84" i="2" s="1"/>
  <c r="L22" i="2"/>
  <c r="X86" i="2"/>
  <c r="G79" i="2"/>
  <c r="W84" i="2" s="1"/>
  <c r="J73" i="2"/>
  <c r="Z78" i="2" s="1"/>
  <c r="I73" i="2"/>
  <c r="Y78" i="2" s="1"/>
  <c r="K79" i="2"/>
  <c r="AA84" i="2" s="1"/>
  <c r="E79" i="2"/>
  <c r="U84" i="2" s="1"/>
  <c r="U80" i="2"/>
  <c r="W86" i="2"/>
  <c r="K73" i="2"/>
  <c r="AA78" i="2" s="1"/>
  <c r="X80" i="2"/>
  <c r="AA86" i="2"/>
  <c r="T86" i="2"/>
  <c r="AA80" i="2"/>
  <c r="Y80" i="2"/>
  <c r="W80" i="2"/>
  <c r="D73" i="2"/>
  <c r="B85" i="2"/>
  <c r="D79" i="2"/>
  <c r="T84" i="2" s="1"/>
  <c r="G73" i="2"/>
  <c r="W78" i="2" s="1"/>
  <c r="F79" i="2"/>
  <c r="V84" i="2" s="1"/>
  <c r="E73" i="2"/>
  <c r="U78" i="2" s="1"/>
  <c r="D24" i="2"/>
  <c r="V80" i="2"/>
  <c r="U86" i="2"/>
  <c r="Y86" i="2"/>
  <c r="H73" i="2"/>
  <c r="X78" i="2" s="1"/>
  <c r="F73" i="2"/>
  <c r="V78" i="2" s="1"/>
  <c r="I79" i="2"/>
  <c r="Y84" i="2" s="1"/>
  <c r="D30" i="2"/>
  <c r="J79" i="2"/>
  <c r="Z84" i="2" s="1"/>
  <c r="Z80" i="2"/>
  <c r="V86" i="2"/>
  <c r="Z86" i="2"/>
  <c r="T79" i="2"/>
  <c r="T80" i="2" s="1"/>
  <c r="T92" i="2"/>
  <c r="D35" i="3"/>
  <c r="S76" i="3"/>
  <c r="S89" i="3"/>
  <c r="T98" i="2" l="1"/>
  <c r="AM98" i="2" s="1"/>
  <c r="B86" i="2" s="1"/>
  <c r="L97" i="2"/>
  <c r="AA31" i="2"/>
  <c r="AA13" i="2"/>
  <c r="X13" i="2" s="1"/>
  <c r="X31" i="2"/>
  <c r="AX42" i="9"/>
  <c r="AY42" i="9" s="1"/>
  <c r="BA42" i="9" s="1"/>
  <c r="AW44" i="9"/>
  <c r="AV44" i="9"/>
  <c r="AQ45" i="9"/>
  <c r="AZ45" i="9"/>
  <c r="AO46" i="9"/>
  <c r="AP45" i="9"/>
  <c r="AR45" i="9"/>
  <c r="AU45" i="9" s="1"/>
  <c r="S90" i="3"/>
  <c r="AJ90" i="3" s="1"/>
  <c r="B90" i="3" s="1"/>
  <c r="S93" i="3"/>
  <c r="S92" i="3"/>
  <c r="S94" i="3" s="1"/>
  <c r="W91" i="3"/>
  <c r="W92" i="3" s="1"/>
  <c r="AE91" i="3"/>
  <c r="AE92" i="3" s="1"/>
  <c r="X91" i="3"/>
  <c r="X92" i="3" s="1"/>
  <c r="AF91" i="3"/>
  <c r="AF92" i="3" s="1"/>
  <c r="AH91" i="3"/>
  <c r="AH92" i="3" s="1"/>
  <c r="AA91" i="3"/>
  <c r="AA92" i="3" s="1"/>
  <c r="AB91" i="3"/>
  <c r="AB92" i="3" s="1"/>
  <c r="U91" i="3"/>
  <c r="U92" i="3" s="1"/>
  <c r="AD91" i="3"/>
  <c r="AD92" i="3" s="1"/>
  <c r="Y91" i="3"/>
  <c r="Y92" i="3" s="1"/>
  <c r="AG91" i="3"/>
  <c r="AG92" i="3" s="1"/>
  <c r="Z91" i="3"/>
  <c r="Z92" i="3" s="1"/>
  <c r="T91" i="3"/>
  <c r="T92" i="3" s="1"/>
  <c r="AC91" i="3"/>
  <c r="AC92" i="3" s="1"/>
  <c r="V91" i="3"/>
  <c r="V92" i="3" s="1"/>
  <c r="AP20" i="3"/>
  <c r="AR20" i="3"/>
  <c r="AW21" i="8"/>
  <c r="AX21" i="8" s="1"/>
  <c r="AY21" i="8" s="1"/>
  <c r="BA21" i="8" s="1"/>
  <c r="AU22" i="8"/>
  <c r="AZ23" i="8"/>
  <c r="AO24" i="8"/>
  <c r="AP23" i="8"/>
  <c r="AR23" i="8"/>
  <c r="D39" i="2"/>
  <c r="D32" i="2"/>
  <c r="AD46" i="2" s="1"/>
  <c r="J46" i="2" s="1"/>
  <c r="D168" i="2"/>
  <c r="AR20" i="2"/>
  <c r="AU20" i="2" s="1"/>
  <c r="D17" i="2"/>
  <c r="AR4" i="2"/>
  <c r="AU4" i="2" s="1"/>
  <c r="AR3" i="2"/>
  <c r="AU3" i="2" s="1"/>
  <c r="AR5" i="2"/>
  <c r="AU5" i="2" s="1"/>
  <c r="AR6" i="2"/>
  <c r="AU6" i="2" s="1"/>
  <c r="AR7" i="2"/>
  <c r="AU7" i="2" s="1"/>
  <c r="AR8" i="2"/>
  <c r="AU8" i="2" s="1"/>
  <c r="AR9" i="2"/>
  <c r="AU9" i="2" s="1"/>
  <c r="AR10" i="2"/>
  <c r="AU10" i="2" s="1"/>
  <c r="AR11" i="2"/>
  <c r="AU11" i="2" s="1"/>
  <c r="AR12" i="2"/>
  <c r="AU12" i="2" s="1"/>
  <c r="AR13" i="2"/>
  <c r="AU13" i="2" s="1"/>
  <c r="AR14" i="2"/>
  <c r="AU14" i="2" s="1"/>
  <c r="AR15" i="2"/>
  <c r="AU15" i="2" s="1"/>
  <c r="AR16" i="2"/>
  <c r="AU16" i="2" s="1"/>
  <c r="AR17" i="2"/>
  <c r="AU17" i="2" s="1"/>
  <c r="AR18" i="2"/>
  <c r="AU18" i="2" s="1"/>
  <c r="AR19" i="2"/>
  <c r="AU19" i="2" s="1"/>
  <c r="AR21" i="2"/>
  <c r="AU21" i="2" s="1"/>
  <c r="AZ21" i="2"/>
  <c r="AP21" i="2"/>
  <c r="AO22" i="2"/>
  <c r="AQ22" i="2" s="1"/>
  <c r="AS137" i="3"/>
  <c r="AS138" i="3"/>
  <c r="AS139" i="3"/>
  <c r="AQ10" i="3"/>
  <c r="AU10" i="3" s="1"/>
  <c r="AQ11" i="3"/>
  <c r="AU11" i="3" s="1"/>
  <c r="AQ12" i="3"/>
  <c r="AU12" i="3" s="1"/>
  <c r="AQ13" i="3"/>
  <c r="AU13" i="3" s="1"/>
  <c r="AQ14" i="3"/>
  <c r="AU14" i="3" s="1"/>
  <c r="AQ15" i="3"/>
  <c r="AU15" i="3" s="1"/>
  <c r="AQ16" i="3"/>
  <c r="AU16" i="3" s="1"/>
  <c r="AQ17" i="3"/>
  <c r="AU17" i="3" s="1"/>
  <c r="AQ4" i="3"/>
  <c r="AU4" i="3" s="1"/>
  <c r="AQ5" i="3"/>
  <c r="AU5" i="3" s="1"/>
  <c r="AQ18" i="3"/>
  <c r="AU18" i="3" s="1"/>
  <c r="AQ19" i="3"/>
  <c r="AU19" i="3" s="1"/>
  <c r="AQ20" i="3"/>
  <c r="AQ6" i="3"/>
  <c r="AU6" i="3" s="1"/>
  <c r="AQ7" i="3"/>
  <c r="AU7" i="3" s="1"/>
  <c r="AQ8" i="3"/>
  <c r="AU8" i="3" s="1"/>
  <c r="AQ9" i="3"/>
  <c r="AU9" i="3" s="1"/>
  <c r="AQ3" i="3"/>
  <c r="AU3" i="3" s="1"/>
  <c r="L23" i="3"/>
  <c r="AO21" i="3"/>
  <c r="AQ21" i="3" s="1"/>
  <c r="D50" i="3"/>
  <c r="Z23" i="3" s="1"/>
  <c r="D37" i="2"/>
  <c r="D25" i="2"/>
  <c r="T78" i="2"/>
  <c r="E45" i="2" s="1"/>
  <c r="D15" i="2"/>
  <c r="D38" i="2"/>
  <c r="D38" i="3"/>
  <c r="D15" i="3"/>
  <c r="AX44" i="9" l="1"/>
  <c r="AY44" i="9" s="1"/>
  <c r="BA44" i="9" s="1"/>
  <c r="B88" i="2"/>
  <c r="AA36" i="2"/>
  <c r="X12" i="2"/>
  <c r="AA93" i="2"/>
  <c r="AI93" i="2"/>
  <c r="T93" i="2"/>
  <c r="AB93" i="2"/>
  <c r="AF93" i="2"/>
  <c r="AG93" i="2"/>
  <c r="U93" i="2"/>
  <c r="AC93" i="2"/>
  <c r="V93" i="2"/>
  <c r="W93" i="2"/>
  <c r="AE93" i="2"/>
  <c r="X93" i="2"/>
  <c r="Y93" i="2"/>
  <c r="Z93" i="2"/>
  <c r="AH93" i="2"/>
  <c r="AD93" i="2"/>
  <c r="AV45" i="9"/>
  <c r="AW45" i="9"/>
  <c r="AZ46" i="9"/>
  <c r="AQ46" i="9"/>
  <c r="AO47" i="9"/>
  <c r="AP46" i="9"/>
  <c r="AR46" i="9"/>
  <c r="T93" i="3"/>
  <c r="T94" i="3"/>
  <c r="AH93" i="3"/>
  <c r="AH94" i="3"/>
  <c r="Z93" i="3"/>
  <c r="Z94" i="3"/>
  <c r="AF93" i="3"/>
  <c r="AF94" i="3"/>
  <c r="AG93" i="3"/>
  <c r="AG94" i="3"/>
  <c r="X93" i="3"/>
  <c r="X94" i="3"/>
  <c r="Y93" i="3"/>
  <c r="Y94" i="3"/>
  <c r="AE93" i="3"/>
  <c r="AE94" i="3"/>
  <c r="AD93" i="3"/>
  <c r="AD94" i="3"/>
  <c r="W93" i="3"/>
  <c r="W94" i="3"/>
  <c r="U93" i="3"/>
  <c r="U94" i="3"/>
  <c r="V93" i="3"/>
  <c r="V94" i="3"/>
  <c r="AB93" i="3"/>
  <c r="AB94" i="3"/>
  <c r="AC93" i="3"/>
  <c r="AC94" i="3"/>
  <c r="AA93" i="3"/>
  <c r="AA94" i="3"/>
  <c r="B92" i="2"/>
  <c r="L96" i="2"/>
  <c r="I46" i="2"/>
  <c r="AU20" i="3"/>
  <c r="AS80" i="2"/>
  <c r="AS26" i="2"/>
  <c r="AS144" i="2"/>
  <c r="AS45" i="2"/>
  <c r="AS15" i="2"/>
  <c r="AV15" i="2" s="1"/>
  <c r="AS8" i="2"/>
  <c r="AW8" i="2" s="1"/>
  <c r="AS59" i="2"/>
  <c r="AS31" i="2"/>
  <c r="AS96" i="2"/>
  <c r="AS176" i="2"/>
  <c r="AS133" i="2"/>
  <c r="AS40" i="2"/>
  <c r="AS213" i="2"/>
  <c r="AS49" i="2"/>
  <c r="AS87" i="2"/>
  <c r="AS48" i="2"/>
  <c r="AS112" i="2"/>
  <c r="AS192" i="2"/>
  <c r="AS149" i="2"/>
  <c r="AS85" i="2"/>
  <c r="AS93" i="2"/>
  <c r="AS127" i="2"/>
  <c r="AS64" i="2"/>
  <c r="AS128" i="2"/>
  <c r="AS240" i="2"/>
  <c r="AS197" i="2"/>
  <c r="AS208" i="2"/>
  <c r="AS97" i="2"/>
  <c r="AS165" i="2"/>
  <c r="AS229" i="2"/>
  <c r="AS13" i="2"/>
  <c r="AW13" i="2" s="1"/>
  <c r="AS160" i="2"/>
  <c r="AS224" i="2"/>
  <c r="AS117" i="2"/>
  <c r="AS181" i="2"/>
  <c r="AS245" i="2"/>
  <c r="AS50" i="2"/>
  <c r="AS82" i="2"/>
  <c r="AS186" i="2"/>
  <c r="AS29" i="2"/>
  <c r="AS12" i="2"/>
  <c r="AW12" i="2" s="1"/>
  <c r="AS57" i="2"/>
  <c r="AS6" i="2"/>
  <c r="AW6" i="2" s="1"/>
  <c r="AS34" i="2"/>
  <c r="AS67" i="2"/>
  <c r="AS95" i="2"/>
  <c r="AS3" i="2"/>
  <c r="AV3" i="2" s="1"/>
  <c r="AS19" i="2"/>
  <c r="AW19" i="2" s="1"/>
  <c r="AS35" i="2"/>
  <c r="AS52" i="2"/>
  <c r="AS68" i="2"/>
  <c r="AS84" i="2"/>
  <c r="AS100" i="2"/>
  <c r="AS116" i="2"/>
  <c r="AS132" i="2"/>
  <c r="AS148" i="2"/>
  <c r="AS164" i="2"/>
  <c r="AS180" i="2"/>
  <c r="AS196" i="2"/>
  <c r="AS212" i="2"/>
  <c r="AS228" i="2"/>
  <c r="AS244" i="2"/>
  <c r="AS61" i="2"/>
  <c r="AS101" i="2"/>
  <c r="AS121" i="2"/>
  <c r="AS137" i="2"/>
  <c r="AS153" i="2"/>
  <c r="AS169" i="2"/>
  <c r="AS185" i="2"/>
  <c r="AS201" i="2"/>
  <c r="AS217" i="2"/>
  <c r="AS233" i="2"/>
  <c r="AS249" i="2"/>
  <c r="AS53" i="2"/>
  <c r="AS105" i="2"/>
  <c r="AS17" i="2"/>
  <c r="AV17" i="2" s="1"/>
  <c r="AS33" i="2"/>
  <c r="AS54" i="2"/>
  <c r="AS98" i="2"/>
  <c r="AS218" i="2"/>
  <c r="AS24" i="2"/>
  <c r="AS69" i="2"/>
  <c r="AS10" i="2"/>
  <c r="AV10" i="2" s="1"/>
  <c r="AS42" i="2"/>
  <c r="AS71" i="2"/>
  <c r="AS103" i="2"/>
  <c r="AS7" i="2"/>
  <c r="AW7" i="2" s="1"/>
  <c r="AS23" i="2"/>
  <c r="AS39" i="2"/>
  <c r="AS56" i="2"/>
  <c r="AS72" i="2"/>
  <c r="AS88" i="2"/>
  <c r="AS104" i="2"/>
  <c r="AS120" i="2"/>
  <c r="AS136" i="2"/>
  <c r="AS152" i="2"/>
  <c r="AS168" i="2"/>
  <c r="AS184" i="2"/>
  <c r="AS200" i="2"/>
  <c r="AS216" i="2"/>
  <c r="AS232" i="2"/>
  <c r="AS248" i="2"/>
  <c r="AS77" i="2"/>
  <c r="AS109" i="2"/>
  <c r="AS125" i="2"/>
  <c r="AS141" i="2"/>
  <c r="AS157" i="2"/>
  <c r="AS173" i="2"/>
  <c r="AS189" i="2"/>
  <c r="AS205" i="2"/>
  <c r="AS221" i="2"/>
  <c r="AS237" i="2"/>
  <c r="AS20" i="2"/>
  <c r="AW20" i="2" s="1"/>
  <c r="AS65" i="2"/>
  <c r="AS5" i="2"/>
  <c r="AW5" i="2" s="1"/>
  <c r="AS21" i="2"/>
  <c r="AW21" i="2" s="1"/>
  <c r="AS37" i="2"/>
  <c r="AS58" i="2"/>
  <c r="AS122" i="2"/>
  <c r="AS14" i="2"/>
  <c r="AW14" i="2" s="1"/>
  <c r="AS16" i="2"/>
  <c r="AW16" i="2" s="1"/>
  <c r="AS4" i="2"/>
  <c r="AV4" i="2" s="1"/>
  <c r="AS36" i="2"/>
  <c r="AS81" i="2"/>
  <c r="AS18" i="2"/>
  <c r="AW18" i="2" s="1"/>
  <c r="AS51" i="2"/>
  <c r="AS79" i="2"/>
  <c r="AS111" i="2"/>
  <c r="AS11" i="2"/>
  <c r="AW11" i="2" s="1"/>
  <c r="AS27" i="2"/>
  <c r="AS44" i="2"/>
  <c r="AS60" i="2"/>
  <c r="AS76" i="2"/>
  <c r="AS92" i="2"/>
  <c r="AS108" i="2"/>
  <c r="AS124" i="2"/>
  <c r="AS140" i="2"/>
  <c r="AS156" i="2"/>
  <c r="AS172" i="2"/>
  <c r="AS188" i="2"/>
  <c r="AS204" i="2"/>
  <c r="AS220" i="2"/>
  <c r="AS236" i="2"/>
  <c r="AS28" i="2"/>
  <c r="AS89" i="2"/>
  <c r="AS113" i="2"/>
  <c r="AS129" i="2"/>
  <c r="AS145" i="2"/>
  <c r="AS161" i="2"/>
  <c r="AS177" i="2"/>
  <c r="AS193" i="2"/>
  <c r="AS209" i="2"/>
  <c r="AS225" i="2"/>
  <c r="AS241" i="2"/>
  <c r="AS32" i="2"/>
  <c r="AS73" i="2"/>
  <c r="AS9" i="2"/>
  <c r="AW9" i="2" s="1"/>
  <c r="AS25" i="2"/>
  <c r="AS41" i="2"/>
  <c r="AS66" i="2"/>
  <c r="AS154" i="2"/>
  <c r="AS70" i="2"/>
  <c r="AS86" i="2"/>
  <c r="AS106" i="2"/>
  <c r="AS126" i="2"/>
  <c r="AS158" i="2"/>
  <c r="AS190" i="2"/>
  <c r="AS222" i="2"/>
  <c r="AS22" i="2"/>
  <c r="AS74" i="2"/>
  <c r="AS90" i="2"/>
  <c r="AS110" i="2"/>
  <c r="AS138" i="2"/>
  <c r="AS170" i="2"/>
  <c r="AS202" i="2"/>
  <c r="AS234" i="2"/>
  <c r="AS83" i="2"/>
  <c r="AS46" i="2"/>
  <c r="AS62" i="2"/>
  <c r="AS78" i="2"/>
  <c r="AS94" i="2"/>
  <c r="AS114" i="2"/>
  <c r="AS142" i="2"/>
  <c r="AS174" i="2"/>
  <c r="AS206" i="2"/>
  <c r="AS238" i="2"/>
  <c r="AS119" i="2"/>
  <c r="AS135" i="2"/>
  <c r="AS47" i="2"/>
  <c r="AS55" i="2"/>
  <c r="AS167" i="2"/>
  <c r="AS91" i="2"/>
  <c r="AS115" i="2"/>
  <c r="AS183" i="2"/>
  <c r="AS187" i="2"/>
  <c r="AS139" i="2"/>
  <c r="AS151" i="2"/>
  <c r="AS155" i="2"/>
  <c r="AS203" i="2"/>
  <c r="AS171" i="2"/>
  <c r="AS215" i="2"/>
  <c r="AS223" i="2"/>
  <c r="AS199" i="2"/>
  <c r="AS130" i="2"/>
  <c r="AS146" i="2"/>
  <c r="AS162" i="2"/>
  <c r="AS178" i="2"/>
  <c r="AS194" i="2"/>
  <c r="AS210" i="2"/>
  <c r="AS226" i="2"/>
  <c r="AS242" i="2"/>
  <c r="AS30" i="2"/>
  <c r="AS63" i="2"/>
  <c r="AS99" i="2"/>
  <c r="AS123" i="2"/>
  <c r="AS143" i="2"/>
  <c r="AS159" i="2"/>
  <c r="AS175" i="2"/>
  <c r="AS191" i="2"/>
  <c r="AS207" i="2"/>
  <c r="AS239" i="2"/>
  <c r="AS102" i="2"/>
  <c r="AS118" i="2"/>
  <c r="AS134" i="2"/>
  <c r="AS150" i="2"/>
  <c r="AS166" i="2"/>
  <c r="AS182" i="2"/>
  <c r="AS198" i="2"/>
  <c r="AS214" i="2"/>
  <c r="AS230" i="2"/>
  <c r="AS246" i="2"/>
  <c r="AS38" i="2"/>
  <c r="AS75" i="2"/>
  <c r="AS107" i="2"/>
  <c r="AS131" i="2"/>
  <c r="AS147" i="2"/>
  <c r="AS163" i="2"/>
  <c r="AS179" i="2"/>
  <c r="AS195" i="2"/>
  <c r="AS211" i="2"/>
  <c r="AS243" i="2"/>
  <c r="AS219" i="2"/>
  <c r="AS247" i="2"/>
  <c r="AS227" i="2"/>
  <c r="AS231" i="2"/>
  <c r="AS235" i="2"/>
  <c r="AZ21" i="3"/>
  <c r="AP21" i="3"/>
  <c r="AR21" i="3"/>
  <c r="AU21" i="3" s="1"/>
  <c r="AU23" i="8"/>
  <c r="AV23" i="8" s="1"/>
  <c r="AZ24" i="8"/>
  <c r="AO25" i="8"/>
  <c r="AP24" i="8"/>
  <c r="AR24" i="8"/>
  <c r="AW22" i="8"/>
  <c r="AV22" i="8"/>
  <c r="K31" i="2"/>
  <c r="K32" i="2" s="1"/>
  <c r="B101" i="2" s="1"/>
  <c r="AD45" i="2"/>
  <c r="J45" i="2" s="1"/>
  <c r="E168" i="2"/>
  <c r="D52" i="3"/>
  <c r="D168" i="3"/>
  <c r="AO23" i="2"/>
  <c r="AQ23" i="2" s="1"/>
  <c r="AR22" i="2"/>
  <c r="AU22" i="2" s="1"/>
  <c r="AZ22" i="2"/>
  <c r="AP22" i="2"/>
  <c r="AO22" i="3"/>
  <c r="D46" i="2"/>
  <c r="E46" i="2" s="1"/>
  <c r="D36" i="2"/>
  <c r="AX45" i="9" l="1"/>
  <c r="AY45" i="9" s="1"/>
  <c r="BA45" i="9" s="1"/>
  <c r="X95" i="2"/>
  <c r="X96" i="2" s="1"/>
  <c r="X94" i="2"/>
  <c r="AB95" i="2"/>
  <c r="AB96" i="2" s="1"/>
  <c r="AB94" i="2"/>
  <c r="D80" i="2" s="1"/>
  <c r="AE95" i="2"/>
  <c r="AE96" i="2" s="1"/>
  <c r="AE94" i="2"/>
  <c r="G80" i="2" s="1"/>
  <c r="T94" i="2"/>
  <c r="T102" i="2" s="1"/>
  <c r="T95" i="2"/>
  <c r="W94" i="2"/>
  <c r="W95" i="2"/>
  <c r="G75" i="2" s="1"/>
  <c r="AI95" i="2"/>
  <c r="AI94" i="2"/>
  <c r="K80" i="2" s="1"/>
  <c r="V94" i="2"/>
  <c r="F74" i="2" s="1"/>
  <c r="V95" i="2"/>
  <c r="F75" i="2" s="1"/>
  <c r="AA94" i="2"/>
  <c r="AA95" i="2"/>
  <c r="K75" i="2" s="1"/>
  <c r="AF95" i="2"/>
  <c r="AF96" i="2" s="1"/>
  <c r="AF94" i="2"/>
  <c r="AD95" i="2"/>
  <c r="AD94" i="2"/>
  <c r="F80" i="2" s="1"/>
  <c r="AC94" i="2"/>
  <c r="E80" i="2" s="1"/>
  <c r="AC95" i="2"/>
  <c r="E81" i="2" s="1"/>
  <c r="Y95" i="2"/>
  <c r="I75" i="2" s="1"/>
  <c r="Y94" i="2"/>
  <c r="AV6" i="2"/>
  <c r="AX6" i="2" s="1"/>
  <c r="AY6" i="2" s="1"/>
  <c r="BA6" i="2" s="1"/>
  <c r="AU46" i="9"/>
  <c r="AW46" i="9" s="1"/>
  <c r="AH95" i="2"/>
  <c r="AH96" i="2" s="1"/>
  <c r="AH94" i="2"/>
  <c r="J80" i="2" s="1"/>
  <c r="U94" i="2"/>
  <c r="E74" i="2" s="1"/>
  <c r="U95" i="2"/>
  <c r="E75" i="2" s="1"/>
  <c r="Z95" i="2"/>
  <c r="Z96" i="2" s="1"/>
  <c r="Z94" i="2"/>
  <c r="AG94" i="2"/>
  <c r="I80" i="2" s="1"/>
  <c r="AG95" i="2"/>
  <c r="I81" i="2" s="1"/>
  <c r="AQ47" i="9"/>
  <c r="AO48" i="9"/>
  <c r="AZ47" i="9"/>
  <c r="AP47" i="9"/>
  <c r="AR47" i="9"/>
  <c r="AU47" i="9" s="1"/>
  <c r="K51" i="3"/>
  <c r="K52" i="3" s="1"/>
  <c r="B99" i="3" s="1"/>
  <c r="I45" i="2"/>
  <c r="AW4" i="2"/>
  <c r="AX4" i="2" s="1"/>
  <c r="AY4" i="2" s="1"/>
  <c r="BA4" i="2" s="1"/>
  <c r="K81" i="2"/>
  <c r="AV13" i="2"/>
  <c r="AX13" i="2" s="1"/>
  <c r="AY13" i="2" s="1"/>
  <c r="BA13" i="2" s="1"/>
  <c r="AW10" i="2"/>
  <c r="AX10" i="2" s="1"/>
  <c r="AY10" i="2" s="1"/>
  <c r="BA10" i="2" s="1"/>
  <c r="AV5" i="2"/>
  <c r="AX5" i="2" s="1"/>
  <c r="AY5" i="2" s="1"/>
  <c r="BA5" i="2" s="1"/>
  <c r="AV7" i="2"/>
  <c r="AX7" i="2" s="1"/>
  <c r="AY7" i="2" s="1"/>
  <c r="BA7" i="2" s="1"/>
  <c r="AW3" i="2"/>
  <c r="AX3" i="2" s="1"/>
  <c r="AY3" i="2" s="1"/>
  <c r="BA3" i="2" s="1"/>
  <c r="AW15" i="2"/>
  <c r="AX15" i="2" s="1"/>
  <c r="AY15" i="2" s="1"/>
  <c r="BA15" i="2" s="1"/>
  <c r="AV8" i="2"/>
  <c r="AX8" i="2" s="1"/>
  <c r="AY8" i="2" s="1"/>
  <c r="BA8" i="2" s="1"/>
  <c r="AW17" i="2"/>
  <c r="AX17" i="2" s="1"/>
  <c r="AY17" i="2" s="1"/>
  <c r="BA17" i="2" s="1"/>
  <c r="AV21" i="2"/>
  <c r="AX21" i="2" s="1"/>
  <c r="AY21" i="2" s="1"/>
  <c r="BA21" i="2" s="1"/>
  <c r="AV14" i="2"/>
  <c r="AX14" i="2" s="1"/>
  <c r="AY14" i="2" s="1"/>
  <c r="BA14" i="2" s="1"/>
  <c r="AV19" i="2"/>
  <c r="AX19" i="2" s="1"/>
  <c r="AY19" i="2" s="1"/>
  <c r="BA19" i="2" s="1"/>
  <c r="AV9" i="2"/>
  <c r="AX9" i="2" s="1"/>
  <c r="AY9" i="2" s="1"/>
  <c r="BA9" i="2" s="1"/>
  <c r="AV18" i="2"/>
  <c r="AX18" i="2" s="1"/>
  <c r="AY18" i="2" s="1"/>
  <c r="BA18" i="2" s="1"/>
  <c r="AH97" i="2"/>
  <c r="AV20" i="2"/>
  <c r="AX20" i="2" s="1"/>
  <c r="AY20" i="2" s="1"/>
  <c r="BA20" i="2" s="1"/>
  <c r="AV11" i="2"/>
  <c r="AX11" i="2" s="1"/>
  <c r="AY11" i="2" s="1"/>
  <c r="BA11" i="2" s="1"/>
  <c r="AV16" i="2"/>
  <c r="AX16" i="2" s="1"/>
  <c r="AY16" i="2" s="1"/>
  <c r="BA16" i="2" s="1"/>
  <c r="AV12" i="2"/>
  <c r="AX12" i="2" s="1"/>
  <c r="AY12" i="2" s="1"/>
  <c r="BA12" i="2" s="1"/>
  <c r="AZ22" i="3"/>
  <c r="AP22" i="3"/>
  <c r="AR22" i="3"/>
  <c r="AQ22" i="3"/>
  <c r="AX22" i="8"/>
  <c r="AY22" i="8" s="1"/>
  <c r="BA22" i="8" s="1"/>
  <c r="AW23" i="8"/>
  <c r="AX23" i="8" s="1"/>
  <c r="AY23" i="8" s="1"/>
  <c r="BA23" i="8" s="1"/>
  <c r="AU24" i="8"/>
  <c r="AW24" i="8" s="1"/>
  <c r="AO27" i="8"/>
  <c r="AZ25" i="8"/>
  <c r="AP25" i="8"/>
  <c r="AR25" i="8"/>
  <c r="S70" i="3"/>
  <c r="S69" i="3"/>
  <c r="H74" i="2"/>
  <c r="H80" i="2"/>
  <c r="E168" i="3"/>
  <c r="AW22" i="2"/>
  <c r="AV22" i="2"/>
  <c r="AR23" i="2"/>
  <c r="AO24" i="2"/>
  <c r="AQ24" i="2" s="1"/>
  <c r="AZ23" i="2"/>
  <c r="AP23" i="2"/>
  <c r="AO23" i="3"/>
  <c r="D45" i="2"/>
  <c r="F81" i="2"/>
  <c r="AB97" i="2" l="1"/>
  <c r="X97" i="2"/>
  <c r="AF97" i="2"/>
  <c r="Z97" i="2"/>
  <c r="AE97" i="2"/>
  <c r="Z99" i="2"/>
  <c r="Z102" i="2"/>
  <c r="Y99" i="2"/>
  <c r="Y102" i="2"/>
  <c r="AA96" i="2"/>
  <c r="AA97" i="2"/>
  <c r="T96" i="2"/>
  <c r="T97" i="2"/>
  <c r="D75" i="2"/>
  <c r="Y96" i="2"/>
  <c r="Y97" i="2"/>
  <c r="AA99" i="2"/>
  <c r="AA102" i="2"/>
  <c r="U96" i="2"/>
  <c r="U97" i="2"/>
  <c r="AC96" i="2"/>
  <c r="AC97" i="2"/>
  <c r="V96" i="2"/>
  <c r="V97" i="2"/>
  <c r="AE99" i="2"/>
  <c r="AE102" i="2"/>
  <c r="D74" i="2"/>
  <c r="B93" i="2" s="1"/>
  <c r="U99" i="2"/>
  <c r="U102" i="2"/>
  <c r="AC99" i="2"/>
  <c r="AC102" i="2"/>
  <c r="V99" i="2"/>
  <c r="V102" i="2"/>
  <c r="J74" i="2"/>
  <c r="AV46" i="9"/>
  <c r="AX46" i="9" s="1"/>
  <c r="AY46" i="9" s="1"/>
  <c r="BA46" i="9" s="1"/>
  <c r="AH99" i="2"/>
  <c r="AH102" i="2"/>
  <c r="AD99" i="2"/>
  <c r="AD102" i="2"/>
  <c r="AI99" i="2"/>
  <c r="AI102" i="2"/>
  <c r="AB99" i="2"/>
  <c r="AB102" i="2"/>
  <c r="AD96" i="2"/>
  <c r="AD97" i="2"/>
  <c r="AI96" i="2"/>
  <c r="AI97" i="2"/>
  <c r="K74" i="2"/>
  <c r="AG96" i="2"/>
  <c r="AG97" i="2"/>
  <c r="AF99" i="2"/>
  <c r="AF102" i="2"/>
  <c r="W96" i="2"/>
  <c r="W97" i="2"/>
  <c r="X99" i="2"/>
  <c r="X102" i="2"/>
  <c r="AG99" i="2"/>
  <c r="AG102" i="2"/>
  <c r="W99" i="2"/>
  <c r="W102" i="2"/>
  <c r="AV47" i="9"/>
  <c r="AX47" i="9" s="1"/>
  <c r="AY47" i="9" s="1"/>
  <c r="BA47" i="9" s="1"/>
  <c r="AW47" i="9"/>
  <c r="AZ48" i="9"/>
  <c r="AQ48" i="9"/>
  <c r="AO49" i="9"/>
  <c r="AP48" i="9"/>
  <c r="AR48" i="9"/>
  <c r="AU48" i="9" s="1"/>
  <c r="D81" i="2"/>
  <c r="H75" i="2"/>
  <c r="H81" i="2"/>
  <c r="G81" i="2"/>
  <c r="G74" i="2"/>
  <c r="I74" i="2"/>
  <c r="J75" i="2"/>
  <c r="T99" i="2"/>
  <c r="D173" i="2" s="1"/>
  <c r="E173" i="2" s="1"/>
  <c r="J81" i="2"/>
  <c r="AU22" i="3"/>
  <c r="AZ23" i="3"/>
  <c r="AR23" i="3"/>
  <c r="AP23" i="3"/>
  <c r="AQ23" i="3"/>
  <c r="AV24" i="8"/>
  <c r="AX24" i="8" s="1"/>
  <c r="AY24" i="8" s="1"/>
  <c r="BA24" i="8" s="1"/>
  <c r="AU25" i="8"/>
  <c r="AV25" i="8" s="1"/>
  <c r="AZ27" i="8"/>
  <c r="AO28" i="8"/>
  <c r="AP27" i="8"/>
  <c r="AR27" i="8"/>
  <c r="AX22" i="2"/>
  <c r="AY22" i="2" s="1"/>
  <c r="BA22" i="2" s="1"/>
  <c r="AP24" i="2"/>
  <c r="AR24" i="2"/>
  <c r="AU24" i="2" s="1"/>
  <c r="AO25" i="2"/>
  <c r="AQ25" i="2" s="1"/>
  <c r="AZ24" i="2"/>
  <c r="AU23" i="2"/>
  <c r="AO24" i="3"/>
  <c r="AM97" i="2" l="1"/>
  <c r="B90" i="2" s="1"/>
  <c r="AK102" i="2"/>
  <c r="AA33" i="2" s="1"/>
  <c r="D172" i="2"/>
  <c r="E172" i="2" s="1"/>
  <c r="D171" i="2"/>
  <c r="E171" i="2" s="1"/>
  <c r="D18" i="2"/>
  <c r="D20" i="2" s="1"/>
  <c r="D21" i="2" s="1"/>
  <c r="AV48" i="9"/>
  <c r="AW48" i="9"/>
  <c r="AQ49" i="9"/>
  <c r="AO50" i="9"/>
  <c r="AZ49" i="9"/>
  <c r="AP49" i="9"/>
  <c r="AR49" i="9"/>
  <c r="AU49" i="9" s="1"/>
  <c r="AU23" i="3"/>
  <c r="D174" i="2"/>
  <c r="AZ24" i="3"/>
  <c r="AP24" i="3"/>
  <c r="AR24" i="3"/>
  <c r="AQ24" i="3"/>
  <c r="AW25" i="8"/>
  <c r="AX25" i="8" s="1"/>
  <c r="AY25" i="8" s="1"/>
  <c r="BA25" i="8" s="1"/>
  <c r="AU27" i="8"/>
  <c r="AV27" i="8" s="1"/>
  <c r="AZ28" i="8"/>
  <c r="AO29" i="8"/>
  <c r="AP28" i="8"/>
  <c r="AR28" i="8"/>
  <c r="AP25" i="2"/>
  <c r="AR25" i="2"/>
  <c r="AU25" i="2" s="1"/>
  <c r="AO26" i="2"/>
  <c r="AQ26" i="2" s="1"/>
  <c r="AZ25" i="2"/>
  <c r="AV23" i="2"/>
  <c r="AW23" i="2"/>
  <c r="AV24" i="2"/>
  <c r="AW24" i="2"/>
  <c r="AO25" i="3"/>
  <c r="W77" i="3"/>
  <c r="W83" i="3"/>
  <c r="T77" i="3"/>
  <c r="D83" i="3"/>
  <c r="S81" i="3" s="1"/>
  <c r="J83" i="3"/>
  <c r="Y81" i="3" s="1"/>
  <c r="U83" i="3"/>
  <c r="Y83" i="3"/>
  <c r="V83" i="3"/>
  <c r="Y77" i="3"/>
  <c r="V77" i="3"/>
  <c r="T83" i="3"/>
  <c r="X83" i="3"/>
  <c r="S83" i="3"/>
  <c r="X77" i="3"/>
  <c r="Z77" i="3"/>
  <c r="U77" i="3"/>
  <c r="Z83" i="3"/>
  <c r="S77" i="3"/>
  <c r="G77" i="3"/>
  <c r="V75" i="3" s="1"/>
  <c r="I83" i="3"/>
  <c r="X81" i="3" s="1"/>
  <c r="J77" i="3"/>
  <c r="Y75" i="3" s="1"/>
  <c r="H83" i="3"/>
  <c r="W81" i="3" s="1"/>
  <c r="E77" i="3"/>
  <c r="I77" i="3"/>
  <c r="X75" i="3" s="1"/>
  <c r="K77" i="3"/>
  <c r="Z75" i="3" s="1"/>
  <c r="D77" i="3"/>
  <c r="H77" i="3"/>
  <c r="W75" i="3" s="1"/>
  <c r="F83" i="3"/>
  <c r="U81" i="3" s="1"/>
  <c r="K83" i="3"/>
  <c r="Z81" i="3" s="1"/>
  <c r="E83" i="3"/>
  <c r="T81" i="3" s="1"/>
  <c r="G83" i="3"/>
  <c r="V81" i="3" s="1"/>
  <c r="F77" i="3"/>
  <c r="U75" i="3" s="1"/>
  <c r="D30" i="3"/>
  <c r="Z30" i="3" s="1"/>
  <c r="D176" i="2" l="1"/>
  <c r="E176" i="2" s="1"/>
  <c r="AX48" i="9"/>
  <c r="AY48" i="9" s="1"/>
  <c r="BA48" i="9" s="1"/>
  <c r="AV49" i="9"/>
  <c r="AW49" i="9"/>
  <c r="AZ50" i="9"/>
  <c r="AQ50" i="9"/>
  <c r="AO51" i="9"/>
  <c r="AP50" i="9"/>
  <c r="AR50" i="9"/>
  <c r="AU50" i="9" s="1"/>
  <c r="B89" i="2"/>
  <c r="D19" i="2"/>
  <c r="D177" i="2"/>
  <c r="E177" i="2" s="1"/>
  <c r="E174" i="2"/>
  <c r="AZ25" i="3"/>
  <c r="AP25" i="3"/>
  <c r="AR25" i="3"/>
  <c r="AQ25" i="3"/>
  <c r="AU24" i="3"/>
  <c r="AW27" i="8"/>
  <c r="AX27" i="8" s="1"/>
  <c r="AY27" i="8" s="1"/>
  <c r="BA27" i="8" s="1"/>
  <c r="AU28" i="8"/>
  <c r="AV28" i="8" s="1"/>
  <c r="AO30" i="8"/>
  <c r="AZ29" i="8"/>
  <c r="AP29" i="8"/>
  <c r="AR29" i="8"/>
  <c r="AU29" i="8" s="1"/>
  <c r="D32" i="3"/>
  <c r="K31" i="3" s="1"/>
  <c r="K32" i="3" s="1"/>
  <c r="B106" i="3" s="1"/>
  <c r="D169" i="3"/>
  <c r="AX23" i="2"/>
  <c r="AY23" i="2" s="1"/>
  <c r="BA23" i="2" s="1"/>
  <c r="AV25" i="2"/>
  <c r="AW25" i="2"/>
  <c r="AX24" i="2"/>
  <c r="AY24" i="2" s="1"/>
  <c r="BA24" i="2" s="1"/>
  <c r="AP26" i="2"/>
  <c r="AR26" i="2"/>
  <c r="AU26" i="2" s="1"/>
  <c r="AO27" i="2"/>
  <c r="AQ27" i="2" s="1"/>
  <c r="AZ26" i="2"/>
  <c r="AS5" i="3"/>
  <c r="AW5" i="3" s="1"/>
  <c r="AS8" i="3"/>
  <c r="AW8" i="3" s="1"/>
  <c r="AS11" i="3"/>
  <c r="AW11" i="3" s="1"/>
  <c r="AS14" i="3"/>
  <c r="AW14" i="3" s="1"/>
  <c r="AS21" i="3"/>
  <c r="AW21" i="3" s="1"/>
  <c r="AS24" i="3"/>
  <c r="AS27" i="3"/>
  <c r="AS30" i="3"/>
  <c r="AS38" i="3"/>
  <c r="AS41" i="3"/>
  <c r="AS45" i="3"/>
  <c r="AS53" i="3"/>
  <c r="AS58" i="3"/>
  <c r="AS61" i="3"/>
  <c r="AS64" i="3"/>
  <c r="AS68" i="3"/>
  <c r="AS71" i="3"/>
  <c r="AS74" i="3"/>
  <c r="AS77" i="3"/>
  <c r="AS80" i="3"/>
  <c r="AS83" i="3"/>
  <c r="AS86" i="3"/>
  <c r="AS89" i="3"/>
  <c r="AS97" i="3"/>
  <c r="AS103" i="3"/>
  <c r="AS107" i="3"/>
  <c r="AS111" i="3"/>
  <c r="AS115" i="3"/>
  <c r="AS123" i="3"/>
  <c r="AS131" i="3"/>
  <c r="AS136" i="3"/>
  <c r="AS141" i="3"/>
  <c r="AS147" i="3"/>
  <c r="AS9" i="3"/>
  <c r="AW9" i="3" s="1"/>
  <c r="AS12" i="3"/>
  <c r="AW12" i="3" s="1"/>
  <c r="AS15" i="3"/>
  <c r="AW15" i="3" s="1"/>
  <c r="AS18" i="3"/>
  <c r="AW18" i="3" s="1"/>
  <c r="AS25" i="3"/>
  <c r="AS28" i="3"/>
  <c r="AS31" i="3"/>
  <c r="AS36" i="3"/>
  <c r="AS46" i="3"/>
  <c r="AS48" i="3"/>
  <c r="AS51" i="3"/>
  <c r="AS54" i="3"/>
  <c r="AS59" i="3"/>
  <c r="AS62" i="3"/>
  <c r="AS65" i="3"/>
  <c r="AS69" i="3"/>
  <c r="AS75" i="3"/>
  <c r="AS78" i="3"/>
  <c r="AS81" i="3"/>
  <c r="AS87" i="3"/>
  <c r="AS90" i="3"/>
  <c r="AS92" i="3"/>
  <c r="AS95" i="3"/>
  <c r="AS98" i="3"/>
  <c r="AS104" i="3"/>
  <c r="AS108" i="3"/>
  <c r="AS112" i="3"/>
  <c r="AS116" i="3"/>
  <c r="AS119" i="3"/>
  <c r="AS121" i="3"/>
  <c r="AS124" i="3"/>
  <c r="AS127" i="3"/>
  <c r="AS129" i="3"/>
  <c r="AS134" i="3"/>
  <c r="AS144" i="3"/>
  <c r="AS150" i="3"/>
  <c r="AS153" i="3"/>
  <c r="AS156" i="3"/>
  <c r="AS163" i="3"/>
  <c r="AS166" i="3"/>
  <c r="AS169" i="3"/>
  <c r="AS176" i="3"/>
  <c r="AS179" i="3"/>
  <c r="AS182" i="3"/>
  <c r="AS185" i="3"/>
  <c r="AS6" i="3"/>
  <c r="AW6" i="3" s="1"/>
  <c r="AS13" i="3"/>
  <c r="AW13" i="3" s="1"/>
  <c r="AS16" i="3"/>
  <c r="AW16" i="3" s="1"/>
  <c r="AS19" i="3"/>
  <c r="AW19" i="3" s="1"/>
  <c r="AS22" i="3"/>
  <c r="AW22" i="3" s="1"/>
  <c r="AS29" i="3"/>
  <c r="AS32" i="3"/>
  <c r="AS34" i="3"/>
  <c r="AS37" i="3"/>
  <c r="AS39" i="3"/>
  <c r="AS42" i="3"/>
  <c r="AS49" i="3"/>
  <c r="AS56" i="3"/>
  <c r="AS60" i="3"/>
  <c r="AS67" i="3"/>
  <c r="AS70" i="3"/>
  <c r="AS72" i="3"/>
  <c r="AS79" i="3"/>
  <c r="AS82" i="3"/>
  <c r="AS84" i="3"/>
  <c r="AS93" i="3"/>
  <c r="AS96" i="3"/>
  <c r="AS99" i="3"/>
  <c r="AS101" i="3"/>
  <c r="AS105" i="3"/>
  <c r="AS109" i="3"/>
  <c r="AS113" i="3"/>
  <c r="AS117" i="3"/>
  <c r="AS120" i="3"/>
  <c r="AS125" i="3"/>
  <c r="AS128" i="3"/>
  <c r="AS132" i="3"/>
  <c r="AS142" i="3"/>
  <c r="AS145" i="3"/>
  <c r="AS148" i="3"/>
  <c r="AS151" i="3"/>
  <c r="AS154" i="3"/>
  <c r="AS157" i="3"/>
  <c r="AS160" i="3"/>
  <c r="AS167" i="3"/>
  <c r="AS170" i="3"/>
  <c r="AS173" i="3"/>
  <c r="AS180" i="3"/>
  <c r="AS183" i="3"/>
  <c r="AS186" i="3"/>
  <c r="AS189" i="3"/>
  <c r="AS196" i="3"/>
  <c r="AS199" i="3"/>
  <c r="AS202" i="3"/>
  <c r="AS205" i="3"/>
  <c r="AS208" i="3"/>
  <c r="AS211" i="3"/>
  <c r="AS214" i="3"/>
  <c r="AS220" i="3"/>
  <c r="AS55" i="3"/>
  <c r="AS114" i="3"/>
  <c r="AS146" i="3"/>
  <c r="AS152" i="3"/>
  <c r="AS159" i="3"/>
  <c r="AS168" i="3"/>
  <c r="AS174" i="3"/>
  <c r="AS178" i="3"/>
  <c r="AS190" i="3"/>
  <c r="AS193" i="3"/>
  <c r="AS197" i="3"/>
  <c r="AS201" i="3"/>
  <c r="AS206" i="3"/>
  <c r="AS209" i="3"/>
  <c r="AS213" i="3"/>
  <c r="AS223" i="3"/>
  <c r="AS226" i="3"/>
  <c r="AS230" i="3"/>
  <c r="AS232" i="3"/>
  <c r="AS238" i="3"/>
  <c r="AS240" i="3"/>
  <c r="AS246" i="3"/>
  <c r="AS241" i="3"/>
  <c r="AS244" i="3"/>
  <c r="AS3" i="3"/>
  <c r="AW3" i="3" s="1"/>
  <c r="AS235" i="3"/>
  <c r="AS7" i="3"/>
  <c r="AW7" i="3" s="1"/>
  <c r="AS17" i="3"/>
  <c r="AW17" i="3" s="1"/>
  <c r="AS23" i="3"/>
  <c r="AW23" i="3" s="1"/>
  <c r="AS33" i="3"/>
  <c r="AS40" i="3"/>
  <c r="AS47" i="3"/>
  <c r="AS63" i="3"/>
  <c r="AS73" i="3"/>
  <c r="AS88" i="3"/>
  <c r="AS94" i="3"/>
  <c r="AS102" i="3"/>
  <c r="AS118" i="3"/>
  <c r="AS122" i="3"/>
  <c r="AS135" i="3"/>
  <c r="AS140" i="3"/>
  <c r="AS155" i="3"/>
  <c r="AS164" i="3"/>
  <c r="AS171" i="3"/>
  <c r="AS175" i="3"/>
  <c r="AS187" i="3"/>
  <c r="AS191" i="3"/>
  <c r="AS194" i="3"/>
  <c r="AS198" i="3"/>
  <c r="AS203" i="3"/>
  <c r="AS210" i="3"/>
  <c r="AS217" i="3"/>
  <c r="AS221" i="3"/>
  <c r="AS224" i="3"/>
  <c r="AS227" i="3"/>
  <c r="AS233" i="3"/>
  <c r="AS236" i="3"/>
  <c r="AS248" i="3"/>
  <c r="AS225" i="3"/>
  <c r="AS229" i="3"/>
  <c r="AS243" i="3"/>
  <c r="AS247" i="3"/>
  <c r="AS52" i="3"/>
  <c r="AS57" i="3"/>
  <c r="AS106" i="3"/>
  <c r="AS126" i="3"/>
  <c r="AS130" i="3"/>
  <c r="AS143" i="3"/>
  <c r="AS149" i="3"/>
  <c r="AS161" i="3"/>
  <c r="AS165" i="3"/>
  <c r="AS172" i="3"/>
  <c r="AS181" i="3"/>
  <c r="AS188" i="3"/>
  <c r="AS192" i="3"/>
  <c r="AS195" i="3"/>
  <c r="AS200" i="3"/>
  <c r="AS204" i="3"/>
  <c r="AS207" i="3"/>
  <c r="AS212" i="3"/>
  <c r="AS215" i="3"/>
  <c r="AS218" i="3"/>
  <c r="AS222" i="3"/>
  <c r="AS228" i="3"/>
  <c r="AS231" i="3"/>
  <c r="AS234" i="3"/>
  <c r="AS239" i="3"/>
  <c r="AS242" i="3"/>
  <c r="AS249" i="3"/>
  <c r="AS4" i="3"/>
  <c r="AW4" i="3" s="1"/>
  <c r="AS10" i="3"/>
  <c r="AW10" i="3" s="1"/>
  <c r="AS20" i="3"/>
  <c r="AW20" i="3" s="1"/>
  <c r="AS26" i="3"/>
  <c r="AS35" i="3"/>
  <c r="AS44" i="3"/>
  <c r="AS50" i="3"/>
  <c r="AS76" i="3"/>
  <c r="AS85" i="3"/>
  <c r="AS91" i="3"/>
  <c r="AS100" i="3"/>
  <c r="AS110" i="3"/>
  <c r="AS133" i="3"/>
  <c r="AS158" i="3"/>
  <c r="AS162" i="3"/>
  <c r="AS177" i="3"/>
  <c r="AS184" i="3"/>
  <c r="AS216" i="3"/>
  <c r="AS219" i="3"/>
  <c r="AS237" i="3"/>
  <c r="AS245" i="3"/>
  <c r="AS250" i="3"/>
  <c r="B95" i="3"/>
  <c r="AO26" i="3"/>
  <c r="D39" i="3"/>
  <c r="T75" i="3"/>
  <c r="D37" i="3"/>
  <c r="D46" i="3" s="1"/>
  <c r="E46" i="3" s="1"/>
  <c r="U95" i="3"/>
  <c r="Y95" i="3"/>
  <c r="AC95" i="3"/>
  <c r="AG95" i="3"/>
  <c r="V95" i="3"/>
  <c r="Z95" i="3"/>
  <c r="AH95" i="3"/>
  <c r="W95" i="3"/>
  <c r="AA95" i="3"/>
  <c r="AE95" i="3"/>
  <c r="S95" i="3"/>
  <c r="T95" i="3"/>
  <c r="X95" i="3"/>
  <c r="AB95" i="3"/>
  <c r="AF95" i="3"/>
  <c r="D25" i="3"/>
  <c r="S75" i="3"/>
  <c r="AX49" i="9" l="1"/>
  <c r="AY49" i="9" s="1"/>
  <c r="BA49" i="9" s="1"/>
  <c r="AV50" i="9"/>
  <c r="AW50" i="9"/>
  <c r="AZ51" i="9"/>
  <c r="AO52" i="9"/>
  <c r="AQ51" i="9"/>
  <c r="AP51" i="9"/>
  <c r="AR51" i="9"/>
  <c r="AU51" i="9" s="1"/>
  <c r="E45" i="3"/>
  <c r="B92" i="3"/>
  <c r="L100" i="3"/>
  <c r="D178" i="2"/>
  <c r="E178" i="2" s="1"/>
  <c r="AW24" i="3"/>
  <c r="AN45" i="3"/>
  <c r="AN46" i="3"/>
  <c r="AU25" i="3"/>
  <c r="AW25" i="3" s="1"/>
  <c r="AZ26" i="3"/>
  <c r="AR26" i="3"/>
  <c r="AP26" i="3"/>
  <c r="AQ26" i="3"/>
  <c r="AW28" i="8"/>
  <c r="AX28" i="8" s="1"/>
  <c r="AY28" i="8" s="1"/>
  <c r="BA28" i="8" s="1"/>
  <c r="AO31" i="8"/>
  <c r="AZ30" i="8"/>
  <c r="AP30" i="8"/>
  <c r="AR30" i="8"/>
  <c r="AV29" i="8"/>
  <c r="AW29" i="8"/>
  <c r="E169" i="3"/>
  <c r="AX25" i="2"/>
  <c r="AY25" i="2" s="1"/>
  <c r="BA25" i="2" s="1"/>
  <c r="AV26" i="2"/>
  <c r="AW26" i="2"/>
  <c r="AP27" i="2"/>
  <c r="AR27" i="2"/>
  <c r="AO28" i="2"/>
  <c r="AQ28" i="2" s="1"/>
  <c r="AZ27" i="2"/>
  <c r="AV4" i="3"/>
  <c r="AV19" i="3"/>
  <c r="AV12" i="3"/>
  <c r="AV14" i="3"/>
  <c r="AV23" i="3"/>
  <c r="AV16" i="3"/>
  <c r="AV9" i="3"/>
  <c r="AX9" i="3" s="1"/>
  <c r="AY9" i="3" s="1"/>
  <c r="BA9" i="3" s="1"/>
  <c r="AV11" i="3"/>
  <c r="AX11" i="3" s="1"/>
  <c r="AY11" i="3" s="1"/>
  <c r="BA11" i="3" s="1"/>
  <c r="AV20" i="3"/>
  <c r="AV17" i="3"/>
  <c r="AX17" i="3" s="1"/>
  <c r="AY17" i="3" s="1"/>
  <c r="BA17" i="3" s="1"/>
  <c r="AV13" i="3"/>
  <c r="AX13" i="3" s="1"/>
  <c r="AY13" i="3" s="1"/>
  <c r="BA13" i="3" s="1"/>
  <c r="AV18" i="3"/>
  <c r="AV24" i="3"/>
  <c r="AV8" i="3"/>
  <c r="AX8" i="3" s="1"/>
  <c r="AY8" i="3" s="1"/>
  <c r="BA8" i="3" s="1"/>
  <c r="AV10" i="3"/>
  <c r="AX10" i="3" s="1"/>
  <c r="AY10" i="3" s="1"/>
  <c r="BA10" i="3" s="1"/>
  <c r="AV7" i="3"/>
  <c r="AX7" i="3" s="1"/>
  <c r="AY7" i="3" s="1"/>
  <c r="BA7" i="3" s="1"/>
  <c r="AV22" i="3"/>
  <c r="AV6" i="3"/>
  <c r="AX6" i="3" s="1"/>
  <c r="AY6" i="3" s="1"/>
  <c r="BA6" i="3" s="1"/>
  <c r="AV15" i="3"/>
  <c r="AV21" i="3"/>
  <c r="AV5" i="3"/>
  <c r="AX5" i="3" s="1"/>
  <c r="AY5" i="3" s="1"/>
  <c r="BA5" i="3" s="1"/>
  <c r="AV3" i="3"/>
  <c r="AO27" i="3"/>
  <c r="G85" i="3"/>
  <c r="AD95" i="3"/>
  <c r="AJ94" i="3" s="1"/>
  <c r="B97" i="3" s="1"/>
  <c r="D36" i="3"/>
  <c r="D45" i="3" s="1"/>
  <c r="T101" i="3"/>
  <c r="AC101" i="3"/>
  <c r="AD96" i="3"/>
  <c r="AD101" i="3"/>
  <c r="AB101" i="3"/>
  <c r="AF101" i="3"/>
  <c r="U101" i="3"/>
  <c r="Z101" i="3"/>
  <c r="Y101" i="3"/>
  <c r="AA101" i="3"/>
  <c r="W101" i="3"/>
  <c r="V96" i="3"/>
  <c r="G79" i="3"/>
  <c r="D85" i="3"/>
  <c r="AA96" i="3"/>
  <c r="I79" i="3"/>
  <c r="X96" i="3"/>
  <c r="E79" i="3"/>
  <c r="T96" i="3"/>
  <c r="AG96" i="3"/>
  <c r="J85" i="3"/>
  <c r="AE96" i="3"/>
  <c r="H85" i="3"/>
  <c r="K85" i="3"/>
  <c r="AH96" i="3"/>
  <c r="AE101" i="3"/>
  <c r="AH101" i="3"/>
  <c r="H79" i="3"/>
  <c r="W96" i="3"/>
  <c r="V101" i="3"/>
  <c r="I85" i="3"/>
  <c r="AF96" i="3"/>
  <c r="U96" i="3"/>
  <c r="F79" i="3"/>
  <c r="X101" i="3"/>
  <c r="AG101" i="3"/>
  <c r="K79" i="3"/>
  <c r="Z96" i="3"/>
  <c r="D79" i="3"/>
  <c r="S96" i="3"/>
  <c r="Y96" i="3"/>
  <c r="J79" i="3"/>
  <c r="AX50" i="9" l="1"/>
  <c r="AY50" i="9" s="1"/>
  <c r="BA50" i="9" s="1"/>
  <c r="AV51" i="9"/>
  <c r="AW51" i="9"/>
  <c r="AZ52" i="9"/>
  <c r="AQ52" i="9"/>
  <c r="AO53" i="9"/>
  <c r="AP52" i="9"/>
  <c r="AR52" i="9"/>
  <c r="AU52" i="9" s="1"/>
  <c r="AV25" i="3"/>
  <c r="I45" i="3"/>
  <c r="J45" i="3"/>
  <c r="I46" i="3"/>
  <c r="J46" i="3"/>
  <c r="AU26" i="3"/>
  <c r="AW26" i="3" s="1"/>
  <c r="AZ27" i="3"/>
  <c r="AP27" i="3"/>
  <c r="AR27" i="3"/>
  <c r="AQ27" i="3"/>
  <c r="AU30" i="8"/>
  <c r="AV30" i="8" s="1"/>
  <c r="AX29" i="8"/>
  <c r="AY29" i="8" s="1"/>
  <c r="BA29" i="8" s="1"/>
  <c r="AZ31" i="8"/>
  <c r="AO32" i="8"/>
  <c r="AP31" i="8"/>
  <c r="AR31" i="8"/>
  <c r="D172" i="3"/>
  <c r="E172" i="3" s="1"/>
  <c r="D78" i="3"/>
  <c r="S101" i="3"/>
  <c r="D174" i="3" s="1"/>
  <c r="E174" i="3" s="1"/>
  <c r="D175" i="3"/>
  <c r="E175" i="3" s="1"/>
  <c r="AU27" i="2"/>
  <c r="AP28" i="2"/>
  <c r="AR28" i="2"/>
  <c r="AU28" i="2" s="1"/>
  <c r="AO29" i="2"/>
  <c r="AQ29" i="2" s="1"/>
  <c r="AZ28" i="2"/>
  <c r="AX26" i="2"/>
  <c r="AY26" i="2" s="1"/>
  <c r="BA26" i="2" s="1"/>
  <c r="AX3" i="3"/>
  <c r="AY3" i="3" s="1"/>
  <c r="BA3" i="3" s="1"/>
  <c r="AX22" i="3"/>
  <c r="AY22" i="3" s="1"/>
  <c r="BA22" i="3" s="1"/>
  <c r="AX23" i="3"/>
  <c r="AY23" i="3" s="1"/>
  <c r="BA23" i="3" s="1"/>
  <c r="AX14" i="3"/>
  <c r="AY14" i="3" s="1"/>
  <c r="BA14" i="3" s="1"/>
  <c r="AX12" i="3"/>
  <c r="AY12" i="3" s="1"/>
  <c r="BA12" i="3" s="1"/>
  <c r="AX19" i="3"/>
  <c r="AY19" i="3" s="1"/>
  <c r="BA19" i="3" s="1"/>
  <c r="AX21" i="3"/>
  <c r="AY21" i="3" s="1"/>
  <c r="BA21" i="3" s="1"/>
  <c r="AX15" i="3"/>
  <c r="AY15" i="3" s="1"/>
  <c r="BA15" i="3" s="1"/>
  <c r="AX24" i="3"/>
  <c r="AY24" i="3" s="1"/>
  <c r="BA24" i="3" s="1"/>
  <c r="AX18" i="3"/>
  <c r="AY18" i="3" s="1"/>
  <c r="BA18" i="3" s="1"/>
  <c r="AX25" i="3"/>
  <c r="AY25" i="3" s="1"/>
  <c r="BA25" i="3" s="1"/>
  <c r="AX4" i="3"/>
  <c r="AY4" i="3" s="1"/>
  <c r="BA4" i="3" s="1"/>
  <c r="AX20" i="3"/>
  <c r="AY20" i="3" s="1"/>
  <c r="BA20" i="3" s="1"/>
  <c r="AX16" i="3"/>
  <c r="AY16" i="3" s="1"/>
  <c r="BA16" i="3" s="1"/>
  <c r="AO28" i="3"/>
  <c r="J84" i="3"/>
  <c r="AG97" i="3"/>
  <c r="AG98" i="3" s="1"/>
  <c r="AG99" i="3"/>
  <c r="AG100" i="3" s="1"/>
  <c r="K78" i="3"/>
  <c r="Z97" i="3"/>
  <c r="Z98" i="3" s="1"/>
  <c r="Z99" i="3"/>
  <c r="Z100" i="3" s="1"/>
  <c r="G84" i="3"/>
  <c r="AD99" i="3"/>
  <c r="AD100" i="3" s="1"/>
  <c r="AD97" i="3"/>
  <c r="AD98" i="3" s="1"/>
  <c r="I78" i="3"/>
  <c r="X99" i="3"/>
  <c r="X100" i="3" s="1"/>
  <c r="X97" i="3"/>
  <c r="X98" i="3" s="1"/>
  <c r="K84" i="3"/>
  <c r="AH97" i="3"/>
  <c r="AH98" i="3" s="1"/>
  <c r="AH99" i="3"/>
  <c r="AH100" i="3" s="1"/>
  <c r="H78" i="3"/>
  <c r="W99" i="3"/>
  <c r="W97" i="3"/>
  <c r="W98" i="3" s="1"/>
  <c r="F78" i="3"/>
  <c r="U97" i="3"/>
  <c r="U98" i="3" s="1"/>
  <c r="U99" i="3"/>
  <c r="U100" i="3" s="1"/>
  <c r="S99" i="3"/>
  <c r="S97" i="3"/>
  <c r="D55" i="3"/>
  <c r="G78" i="3"/>
  <c r="V99" i="3"/>
  <c r="V100" i="3" s="1"/>
  <c r="V97" i="3"/>
  <c r="V98" i="3" s="1"/>
  <c r="H84" i="3"/>
  <c r="AE99" i="3"/>
  <c r="AE100" i="3" s="1"/>
  <c r="AE97" i="3"/>
  <c r="AE98" i="3" s="1"/>
  <c r="D84" i="3"/>
  <c r="AA99" i="3"/>
  <c r="AA100" i="3" s="1"/>
  <c r="AA97" i="3"/>
  <c r="AA98" i="3" s="1"/>
  <c r="I84" i="3"/>
  <c r="AF99" i="3"/>
  <c r="AF100" i="3" s="1"/>
  <c r="AF97" i="3"/>
  <c r="AF98" i="3" s="1"/>
  <c r="F84" i="3"/>
  <c r="AC97" i="3"/>
  <c r="AC98" i="3" s="1"/>
  <c r="AC99" i="3"/>
  <c r="AC100" i="3" s="1"/>
  <c r="J78" i="3"/>
  <c r="Y97" i="3"/>
  <c r="Y98" i="3" s="1"/>
  <c r="Y99" i="3"/>
  <c r="Y100" i="3" s="1"/>
  <c r="E84" i="3"/>
  <c r="AB99" i="3"/>
  <c r="AB100" i="3" s="1"/>
  <c r="AB97" i="3"/>
  <c r="AB98" i="3" s="1"/>
  <c r="E78" i="3"/>
  <c r="T99" i="3"/>
  <c r="T100" i="3" s="1"/>
  <c r="T97" i="3"/>
  <c r="T98" i="3" s="1"/>
  <c r="D53" i="3"/>
  <c r="D54" i="3" s="1"/>
  <c r="F85" i="3"/>
  <c r="AC96" i="3"/>
  <c r="E85" i="3"/>
  <c r="AB96" i="3"/>
  <c r="AX51" i="9" l="1"/>
  <c r="AY51" i="9" s="1"/>
  <c r="BA51" i="9" s="1"/>
  <c r="AV52" i="9"/>
  <c r="AW52" i="9"/>
  <c r="AO54" i="9"/>
  <c r="AZ53" i="9"/>
  <c r="AQ53" i="9"/>
  <c r="AP53" i="9"/>
  <c r="AR53" i="9"/>
  <c r="AU53" i="9" s="1"/>
  <c r="W100" i="3"/>
  <c r="J68" i="3"/>
  <c r="AV26" i="3"/>
  <c r="AX26" i="3" s="1"/>
  <c r="AY26" i="3" s="1"/>
  <c r="BA26" i="3" s="1"/>
  <c r="AZ28" i="3"/>
  <c r="AP28" i="3"/>
  <c r="AR28" i="3"/>
  <c r="AQ28" i="3"/>
  <c r="AU27" i="3"/>
  <c r="D18" i="3"/>
  <c r="D20" i="3" s="1"/>
  <c r="D21" i="3" s="1"/>
  <c r="AW30" i="8"/>
  <c r="AX30" i="8" s="1"/>
  <c r="AY30" i="8" s="1"/>
  <c r="BA30" i="8" s="1"/>
  <c r="AU31" i="8"/>
  <c r="AO33" i="8"/>
  <c r="AZ32" i="8"/>
  <c r="AP32" i="8"/>
  <c r="AR32" i="8"/>
  <c r="D173" i="3"/>
  <c r="E173" i="3" s="1"/>
  <c r="B100" i="3"/>
  <c r="D171" i="3"/>
  <c r="AV27" i="2"/>
  <c r="AW27" i="2"/>
  <c r="AP29" i="2"/>
  <c r="AR29" i="2"/>
  <c r="AO30" i="2"/>
  <c r="AQ30" i="2" s="1"/>
  <c r="AZ29" i="2"/>
  <c r="AV28" i="2"/>
  <c r="AW28" i="2"/>
  <c r="AO29" i="3"/>
  <c r="D57" i="3"/>
  <c r="D69" i="3" s="1"/>
  <c r="E69" i="3" s="1"/>
  <c r="S98" i="3"/>
  <c r="D56" i="3" s="1"/>
  <c r="D68" i="3" s="1"/>
  <c r="D58" i="3"/>
  <c r="I68" i="3" s="1"/>
  <c r="S100" i="3"/>
  <c r="AX52" i="9" l="1"/>
  <c r="AY52" i="9" s="1"/>
  <c r="BA52" i="9" s="1"/>
  <c r="AV53" i="9"/>
  <c r="AW53" i="9"/>
  <c r="AZ54" i="9"/>
  <c r="AQ54" i="9"/>
  <c r="AO55" i="9"/>
  <c r="AP54" i="9"/>
  <c r="AR54" i="9"/>
  <c r="AU54" i="9" s="1"/>
  <c r="B96" i="3"/>
  <c r="E68" i="3"/>
  <c r="J69" i="3"/>
  <c r="D59" i="3"/>
  <c r="I69" i="3" s="1"/>
  <c r="AU28" i="3"/>
  <c r="AW28" i="3" s="1"/>
  <c r="AZ29" i="3"/>
  <c r="AR29" i="3"/>
  <c r="AP29" i="3"/>
  <c r="AQ29" i="3"/>
  <c r="AW27" i="3"/>
  <c r="AV27" i="3"/>
  <c r="AU32" i="8"/>
  <c r="AW32" i="8" s="1"/>
  <c r="AZ33" i="8"/>
  <c r="AO34" i="8"/>
  <c r="AP33" i="8"/>
  <c r="AR33" i="8"/>
  <c r="AW31" i="8"/>
  <c r="AV31" i="8"/>
  <c r="D178" i="3"/>
  <c r="E178" i="3" s="1"/>
  <c r="E171" i="3"/>
  <c r="D177" i="3"/>
  <c r="AX27" i="2"/>
  <c r="AY27" i="2" s="1"/>
  <c r="BA27" i="2" s="1"/>
  <c r="AX28" i="2"/>
  <c r="AY28" i="2" s="1"/>
  <c r="BA28" i="2" s="1"/>
  <c r="AU29" i="2"/>
  <c r="AP30" i="2"/>
  <c r="AR30" i="2"/>
  <c r="AU30" i="2" s="1"/>
  <c r="AO31" i="2"/>
  <c r="AQ31" i="2" s="1"/>
  <c r="AZ30" i="2"/>
  <c r="AO30" i="3"/>
  <c r="AX53" i="9" l="1"/>
  <c r="AY53" i="9" s="1"/>
  <c r="BA53" i="9" s="1"/>
  <c r="AV54" i="9"/>
  <c r="AW54" i="9"/>
  <c r="AO56" i="9"/>
  <c r="AQ55" i="9"/>
  <c r="AZ55" i="9"/>
  <c r="AP55" i="9"/>
  <c r="AR55" i="9"/>
  <c r="AU55" i="9" s="1"/>
  <c r="AV28" i="3"/>
  <c r="AX28" i="3" s="1"/>
  <c r="AY28" i="3" s="1"/>
  <c r="BA28" i="3" s="1"/>
  <c r="AU29" i="3"/>
  <c r="AV29" i="3" s="1"/>
  <c r="AX27" i="3"/>
  <c r="AY27" i="3" s="1"/>
  <c r="BA27" i="3" s="1"/>
  <c r="AZ30" i="3"/>
  <c r="AP30" i="3"/>
  <c r="AR30" i="3"/>
  <c r="AQ30" i="3"/>
  <c r="AU33" i="8"/>
  <c r="AV33" i="8" s="1"/>
  <c r="AV32" i="8"/>
  <c r="AX32" i="8" s="1"/>
  <c r="AY32" i="8" s="1"/>
  <c r="BA32" i="8" s="1"/>
  <c r="AX31" i="8"/>
  <c r="AY31" i="8" s="1"/>
  <c r="BA31" i="8" s="1"/>
  <c r="AO35" i="8"/>
  <c r="AZ34" i="8"/>
  <c r="AP34" i="8"/>
  <c r="AR34" i="8"/>
  <c r="D179" i="3"/>
  <c r="E179" i="3" s="1"/>
  <c r="E177" i="3"/>
  <c r="AP31" i="2"/>
  <c r="AR31" i="2"/>
  <c r="AU31" i="2" s="1"/>
  <c r="AO32" i="2"/>
  <c r="AQ32" i="2" s="1"/>
  <c r="AZ31" i="2"/>
  <c r="AV29" i="2"/>
  <c r="AW29" i="2"/>
  <c r="AV30" i="2"/>
  <c r="AW30" i="2"/>
  <c r="AO31" i="3"/>
  <c r="AX54" i="9" l="1"/>
  <c r="AY54" i="9" s="1"/>
  <c r="BA54" i="9" s="1"/>
  <c r="AV55" i="9"/>
  <c r="AW55" i="9"/>
  <c r="AZ56" i="9"/>
  <c r="AQ56" i="9"/>
  <c r="AO57" i="9"/>
  <c r="AP56" i="9"/>
  <c r="AR56" i="9"/>
  <c r="AU56" i="9" s="1"/>
  <c r="AU30" i="3"/>
  <c r="AW30" i="3" s="1"/>
  <c r="AW29" i="3"/>
  <c r="AX29" i="3" s="1"/>
  <c r="AY29" i="3" s="1"/>
  <c r="BA29" i="3" s="1"/>
  <c r="AZ31" i="3"/>
  <c r="AO32" i="3"/>
  <c r="AR31" i="3"/>
  <c r="AP31" i="3"/>
  <c r="AQ31" i="3"/>
  <c r="AU34" i="8"/>
  <c r="AW34" i="8" s="1"/>
  <c r="AW33" i="8"/>
  <c r="AX33" i="8" s="1"/>
  <c r="AY33" i="8" s="1"/>
  <c r="BA33" i="8" s="1"/>
  <c r="AZ35" i="8"/>
  <c r="AO36" i="8"/>
  <c r="AP35" i="8"/>
  <c r="AR35" i="8"/>
  <c r="AX29" i="2"/>
  <c r="AY29" i="2" s="1"/>
  <c r="BA29" i="2" s="1"/>
  <c r="AX30" i="2"/>
  <c r="AY30" i="2" s="1"/>
  <c r="BA30" i="2" s="1"/>
  <c r="AP32" i="2"/>
  <c r="AR32" i="2"/>
  <c r="AU32" i="2" s="1"/>
  <c r="AO33" i="2"/>
  <c r="AQ33" i="2" s="1"/>
  <c r="AZ32" i="2"/>
  <c r="AV31" i="2"/>
  <c r="AW31" i="2"/>
  <c r="AX55" i="9" l="1"/>
  <c r="AY55" i="9" s="1"/>
  <c r="BA55" i="9" s="1"/>
  <c r="AV56" i="9"/>
  <c r="AW56" i="9"/>
  <c r="AO58" i="9"/>
  <c r="AZ57" i="9"/>
  <c r="AQ57" i="9"/>
  <c r="AP57" i="9"/>
  <c r="AR57" i="9"/>
  <c r="AU57" i="9" s="1"/>
  <c r="AV30" i="3"/>
  <c r="AX30" i="3" s="1"/>
  <c r="AY30" i="3" s="1"/>
  <c r="BA30" i="3" s="1"/>
  <c r="AZ32" i="3"/>
  <c r="AO33" i="3"/>
  <c r="AP32" i="3"/>
  <c r="AR32" i="3"/>
  <c r="AQ32" i="3"/>
  <c r="AU31" i="3"/>
  <c r="AV34" i="8"/>
  <c r="AX34" i="8" s="1"/>
  <c r="AY34" i="8" s="1"/>
  <c r="BA34" i="8" s="1"/>
  <c r="AU35" i="8"/>
  <c r="AV35" i="8" s="1"/>
  <c r="AO37" i="8"/>
  <c r="AZ36" i="8"/>
  <c r="AP36" i="8"/>
  <c r="AR36" i="8"/>
  <c r="AX31" i="2"/>
  <c r="AY31" i="2" s="1"/>
  <c r="BA31" i="2" s="1"/>
  <c r="AZ33" i="2"/>
  <c r="AP33" i="2"/>
  <c r="AR33" i="2"/>
  <c r="AU33" i="2" s="1"/>
  <c r="AO34" i="2"/>
  <c r="AQ34" i="2" s="1"/>
  <c r="AV32" i="2"/>
  <c r="AW32" i="2"/>
  <c r="AX56" i="9" l="1"/>
  <c r="AY56" i="9" s="1"/>
  <c r="BA56" i="9" s="1"/>
  <c r="AV57" i="9"/>
  <c r="AW57" i="9"/>
  <c r="AZ58" i="9"/>
  <c r="AQ58" i="9"/>
  <c r="AO59" i="9"/>
  <c r="AP58" i="9"/>
  <c r="AR58" i="9"/>
  <c r="AU58" i="9" s="1"/>
  <c r="AV31" i="3"/>
  <c r="AW31" i="3"/>
  <c r="AZ33" i="3"/>
  <c r="AO34" i="3"/>
  <c r="AP33" i="3"/>
  <c r="AR33" i="3"/>
  <c r="AQ33" i="3"/>
  <c r="AU32" i="3"/>
  <c r="AW35" i="8"/>
  <c r="AX35" i="8" s="1"/>
  <c r="AY35" i="8" s="1"/>
  <c r="BA35" i="8" s="1"/>
  <c r="AU36" i="8"/>
  <c r="AV36" i="8" s="1"/>
  <c r="AZ37" i="8"/>
  <c r="AO38" i="8"/>
  <c r="AP37" i="8"/>
  <c r="AR37" i="8"/>
  <c r="AV33" i="2"/>
  <c r="AW33" i="2"/>
  <c r="AX32" i="2"/>
  <c r="AY32" i="2" s="1"/>
  <c r="BA32" i="2" s="1"/>
  <c r="AZ34" i="2"/>
  <c r="AP34" i="2"/>
  <c r="AR34" i="2"/>
  <c r="AU34" i="2" s="1"/>
  <c r="AO35" i="2"/>
  <c r="AQ35" i="2" s="1"/>
  <c r="AX57" i="9" l="1"/>
  <c r="AY57" i="9" s="1"/>
  <c r="BA57" i="9" s="1"/>
  <c r="AW58" i="9"/>
  <c r="AV58" i="9"/>
  <c r="AX58" i="9" s="1"/>
  <c r="AY58" i="9" s="1"/>
  <c r="BA58" i="9" s="1"/>
  <c r="AO60" i="9"/>
  <c r="AQ59" i="9"/>
  <c r="AZ59" i="9"/>
  <c r="AP59" i="9"/>
  <c r="AR59" i="9"/>
  <c r="AU59" i="9" s="1"/>
  <c r="AX31" i="3"/>
  <c r="AY31" i="3" s="1"/>
  <c r="BA31" i="3" s="1"/>
  <c r="AU33" i="3"/>
  <c r="AV33" i="3" s="1"/>
  <c r="AW32" i="3"/>
  <c r="AV32" i="3"/>
  <c r="AZ34" i="3"/>
  <c r="AO35" i="3"/>
  <c r="AP34" i="3"/>
  <c r="AR34" i="3"/>
  <c r="AQ34" i="3"/>
  <c r="AW36" i="8"/>
  <c r="AX36" i="8" s="1"/>
  <c r="AY36" i="8" s="1"/>
  <c r="BA36" i="8" s="1"/>
  <c r="AU37" i="8"/>
  <c r="AW37" i="8" s="1"/>
  <c r="AO39" i="8"/>
  <c r="AZ38" i="8"/>
  <c r="AP38" i="8"/>
  <c r="AR38" i="8"/>
  <c r="AX33" i="2"/>
  <c r="AY33" i="2" s="1"/>
  <c r="BA33" i="2" s="1"/>
  <c r="AZ35" i="2"/>
  <c r="AP35" i="2"/>
  <c r="AR35" i="2"/>
  <c r="AO36" i="2"/>
  <c r="AQ36" i="2" s="1"/>
  <c r="AV34" i="2"/>
  <c r="AW34" i="2"/>
  <c r="AV59" i="9" l="1"/>
  <c r="AW59" i="9"/>
  <c r="AZ60" i="9"/>
  <c r="AQ60" i="9"/>
  <c r="AO61" i="9"/>
  <c r="AP60" i="9"/>
  <c r="AR60" i="9"/>
  <c r="AU60" i="9" s="1"/>
  <c r="AW33" i="3"/>
  <c r="AX33" i="3" s="1"/>
  <c r="AY33" i="3" s="1"/>
  <c r="BA33" i="3" s="1"/>
  <c r="AX32" i="3"/>
  <c r="AY32" i="3" s="1"/>
  <c r="BA32" i="3" s="1"/>
  <c r="AZ35" i="3"/>
  <c r="AO36" i="3"/>
  <c r="AP35" i="3"/>
  <c r="AR35" i="3"/>
  <c r="AQ35" i="3"/>
  <c r="AU34" i="3"/>
  <c r="AV37" i="8"/>
  <c r="AX37" i="8" s="1"/>
  <c r="AY37" i="8" s="1"/>
  <c r="BA37" i="8" s="1"/>
  <c r="AU38" i="8"/>
  <c r="AV38" i="8" s="1"/>
  <c r="AZ39" i="8"/>
  <c r="AO40" i="8"/>
  <c r="AP39" i="8"/>
  <c r="AR39" i="8"/>
  <c r="AX34" i="2"/>
  <c r="AY34" i="2" s="1"/>
  <c r="BA34" i="2" s="1"/>
  <c r="AU35" i="2"/>
  <c r="AZ36" i="2"/>
  <c r="AP36" i="2"/>
  <c r="AR36" i="2"/>
  <c r="AO37" i="2"/>
  <c r="AQ37" i="2" s="1"/>
  <c r="AX59" i="9" l="1"/>
  <c r="AY59" i="9" s="1"/>
  <c r="BA59" i="9" s="1"/>
  <c r="AV60" i="9"/>
  <c r="AW60" i="9"/>
  <c r="AO62" i="9"/>
  <c r="AZ61" i="9"/>
  <c r="AQ61" i="9"/>
  <c r="AP61" i="9"/>
  <c r="AR61" i="9"/>
  <c r="AU61" i="9" s="1"/>
  <c r="AV34" i="3"/>
  <c r="AW34" i="3"/>
  <c r="AZ36" i="3"/>
  <c r="AO37" i="3"/>
  <c r="AR36" i="3"/>
  <c r="AP36" i="3"/>
  <c r="AQ36" i="3"/>
  <c r="AU35" i="3"/>
  <c r="AW38" i="8"/>
  <c r="AX38" i="8" s="1"/>
  <c r="AY38" i="8" s="1"/>
  <c r="BA38" i="8" s="1"/>
  <c r="AU39" i="8"/>
  <c r="AV39" i="8" s="1"/>
  <c r="AO41" i="8"/>
  <c r="AZ40" i="8"/>
  <c r="AP40" i="8"/>
  <c r="AR40" i="8"/>
  <c r="AZ37" i="2"/>
  <c r="AP37" i="2"/>
  <c r="AR37" i="2"/>
  <c r="AO38" i="2"/>
  <c r="AQ38" i="2" s="1"/>
  <c r="AU36" i="2"/>
  <c r="AV35" i="2"/>
  <c r="AW35" i="2"/>
  <c r="AX60" i="9" l="1"/>
  <c r="AY60" i="9" s="1"/>
  <c r="BA60" i="9" s="1"/>
  <c r="AV61" i="9"/>
  <c r="AW61" i="9"/>
  <c r="AZ62" i="9"/>
  <c r="AQ62" i="9"/>
  <c r="AO63" i="9"/>
  <c r="AP62" i="9"/>
  <c r="AR62" i="9"/>
  <c r="AU62" i="9" s="1"/>
  <c r="AX34" i="3"/>
  <c r="AY34" i="3" s="1"/>
  <c r="BA34" i="3" s="1"/>
  <c r="AU36" i="3"/>
  <c r="AW36" i="3" s="1"/>
  <c r="AV35" i="3"/>
  <c r="AW35" i="3"/>
  <c r="AZ37" i="3"/>
  <c r="AO38" i="3"/>
  <c r="AP37" i="3"/>
  <c r="AR37" i="3"/>
  <c r="AQ37" i="3"/>
  <c r="AW39" i="8"/>
  <c r="AX39" i="8" s="1"/>
  <c r="AY39" i="8" s="1"/>
  <c r="BA39" i="8" s="1"/>
  <c r="AU40" i="8"/>
  <c r="AV40" i="8" s="1"/>
  <c r="AO42" i="8"/>
  <c r="AZ41" i="8"/>
  <c r="AP41" i="8"/>
  <c r="AR41" i="8"/>
  <c r="AX35" i="2"/>
  <c r="AY35" i="2" s="1"/>
  <c r="BA35" i="2" s="1"/>
  <c r="AV36" i="2"/>
  <c r="AW36" i="2"/>
  <c r="AZ38" i="2"/>
  <c r="AP38" i="2"/>
  <c r="AR38" i="2"/>
  <c r="AU38" i="2" s="1"/>
  <c r="AO39" i="2"/>
  <c r="AQ39" i="2" s="1"/>
  <c r="AU37" i="2"/>
  <c r="AX61" i="9" l="1"/>
  <c r="AY61" i="9" s="1"/>
  <c r="BA61" i="9" s="1"/>
  <c r="AV62" i="9"/>
  <c r="AW62" i="9"/>
  <c r="AO64" i="9"/>
  <c r="AZ63" i="9"/>
  <c r="AQ63" i="9"/>
  <c r="AP63" i="9"/>
  <c r="AR63" i="9"/>
  <c r="AU63" i="9" s="1"/>
  <c r="AV36" i="3"/>
  <c r="AX36" i="3" s="1"/>
  <c r="AY36" i="3" s="1"/>
  <c r="BA36" i="3" s="1"/>
  <c r="AX35" i="3"/>
  <c r="AY35" i="3" s="1"/>
  <c r="BA35" i="3" s="1"/>
  <c r="AZ38" i="3"/>
  <c r="AO39" i="3"/>
  <c r="AP38" i="3"/>
  <c r="AR38" i="3"/>
  <c r="AQ38" i="3"/>
  <c r="AU37" i="3"/>
  <c r="AW40" i="8"/>
  <c r="AX40" i="8" s="1"/>
  <c r="AY40" i="8" s="1"/>
  <c r="BA40" i="8" s="1"/>
  <c r="AU41" i="8"/>
  <c r="AV41" i="8" s="1"/>
  <c r="AO43" i="8"/>
  <c r="AZ42" i="8"/>
  <c r="AP42" i="8"/>
  <c r="AR42" i="8"/>
  <c r="AX36" i="2"/>
  <c r="AY36" i="2" s="1"/>
  <c r="BA36" i="2" s="1"/>
  <c r="AV37" i="2"/>
  <c r="AW37" i="2"/>
  <c r="AV38" i="2"/>
  <c r="AW38" i="2"/>
  <c r="AZ39" i="2"/>
  <c r="AP39" i="2"/>
  <c r="AR39" i="2"/>
  <c r="AO40" i="2"/>
  <c r="AQ40" i="2" s="1"/>
  <c r="AV63" i="9" l="1"/>
  <c r="AX63" i="9" s="1"/>
  <c r="AY63" i="9" s="1"/>
  <c r="BA63" i="9" s="1"/>
  <c r="AW63" i="9"/>
  <c r="AZ64" i="9"/>
  <c r="AQ64" i="9"/>
  <c r="AO65" i="9"/>
  <c r="AP64" i="9"/>
  <c r="AR64" i="9"/>
  <c r="AU64" i="9" s="1"/>
  <c r="AX62" i="9"/>
  <c r="AY62" i="9" s="1"/>
  <c r="BA62" i="9" s="1"/>
  <c r="AX37" i="2"/>
  <c r="AY37" i="2" s="1"/>
  <c r="BA37" i="2" s="1"/>
  <c r="AV37" i="3"/>
  <c r="AW37" i="3"/>
  <c r="AZ39" i="3"/>
  <c r="AO40" i="3"/>
  <c r="AR39" i="3"/>
  <c r="AP39" i="3"/>
  <c r="AQ39" i="3"/>
  <c r="AU38" i="3"/>
  <c r="AW41" i="8"/>
  <c r="AX41" i="8" s="1"/>
  <c r="AY41" i="8" s="1"/>
  <c r="BA41" i="8" s="1"/>
  <c r="AU42" i="8"/>
  <c r="AW42" i="8" s="1"/>
  <c r="AO45" i="8"/>
  <c r="AZ43" i="8"/>
  <c r="AP43" i="8"/>
  <c r="AR43" i="8"/>
  <c r="AU43" i="8" s="1"/>
  <c r="AZ40" i="2"/>
  <c r="AP40" i="2"/>
  <c r="AR40" i="2"/>
  <c r="AO41" i="2"/>
  <c r="AQ41" i="2" s="1"/>
  <c r="AU39" i="2"/>
  <c r="AX38" i="2"/>
  <c r="AY38" i="2" s="1"/>
  <c r="BA38" i="2" s="1"/>
  <c r="AV64" i="9" l="1"/>
  <c r="AW64" i="9"/>
  <c r="AO66" i="9"/>
  <c r="AQ65" i="9"/>
  <c r="AZ65" i="9"/>
  <c r="AP65" i="9"/>
  <c r="AR65" i="9"/>
  <c r="AU65" i="9" s="1"/>
  <c r="AX37" i="3"/>
  <c r="AY37" i="3" s="1"/>
  <c r="BA37" i="3" s="1"/>
  <c r="AV38" i="3"/>
  <c r="AW38" i="3"/>
  <c r="AZ40" i="3"/>
  <c r="AO41" i="3"/>
  <c r="AP40" i="3"/>
  <c r="AR40" i="3"/>
  <c r="AQ40" i="3"/>
  <c r="AU39" i="3"/>
  <c r="AV42" i="8"/>
  <c r="AX42" i="8" s="1"/>
  <c r="AY42" i="8" s="1"/>
  <c r="BA42" i="8" s="1"/>
  <c r="AV43" i="8"/>
  <c r="AW43" i="8"/>
  <c r="AO46" i="8"/>
  <c r="AZ45" i="8"/>
  <c r="AP45" i="8"/>
  <c r="AR45" i="8"/>
  <c r="AU45" i="8" s="1"/>
  <c r="AV39" i="2"/>
  <c r="AW39" i="2"/>
  <c r="AZ41" i="2"/>
  <c r="AP41" i="2"/>
  <c r="AR41" i="2"/>
  <c r="AU41" i="2" s="1"/>
  <c r="AO42" i="2"/>
  <c r="AQ42" i="2" s="1"/>
  <c r="AU40" i="2"/>
  <c r="AV65" i="9" l="1"/>
  <c r="AW65" i="9"/>
  <c r="AO67" i="9"/>
  <c r="AQ66" i="9"/>
  <c r="AZ66" i="9"/>
  <c r="AP66" i="9"/>
  <c r="AR66" i="9"/>
  <c r="AU66" i="9" s="1"/>
  <c r="AX64" i="9"/>
  <c r="AY64" i="9" s="1"/>
  <c r="BA64" i="9" s="1"/>
  <c r="AX43" i="8"/>
  <c r="AY43" i="8" s="1"/>
  <c r="BA43" i="8" s="1"/>
  <c r="AX38" i="3"/>
  <c r="AY38" i="3" s="1"/>
  <c r="BA38" i="3" s="1"/>
  <c r="AV39" i="3"/>
  <c r="AW39" i="3"/>
  <c r="AZ41" i="3"/>
  <c r="AO42" i="3"/>
  <c r="AP41" i="3"/>
  <c r="AR41" i="3"/>
  <c r="AQ41" i="3"/>
  <c r="AU40" i="3"/>
  <c r="AO47" i="8"/>
  <c r="AZ46" i="8"/>
  <c r="AP46" i="8"/>
  <c r="AR46" i="8"/>
  <c r="AU46" i="8" s="1"/>
  <c r="AW45" i="8"/>
  <c r="AV45" i="8"/>
  <c r="AX39" i="2"/>
  <c r="AY39" i="2" s="1"/>
  <c r="BA39" i="2" s="1"/>
  <c r="AV40" i="2"/>
  <c r="AW40" i="2"/>
  <c r="AV41" i="2"/>
  <c r="AW41" i="2"/>
  <c r="AZ42" i="2"/>
  <c r="AP42" i="2"/>
  <c r="AR42" i="2"/>
  <c r="AO44" i="2"/>
  <c r="AQ44" i="2" s="1"/>
  <c r="AX65" i="9" l="1"/>
  <c r="AY65" i="9" s="1"/>
  <c r="BA65" i="9" s="1"/>
  <c r="AV66" i="9"/>
  <c r="AW66" i="9"/>
  <c r="AZ67" i="9"/>
  <c r="AO68" i="9"/>
  <c r="AQ67" i="9"/>
  <c r="AP67" i="9"/>
  <c r="AR67" i="9"/>
  <c r="AU67" i="9" s="1"/>
  <c r="AU41" i="3"/>
  <c r="AV41" i="3" s="1"/>
  <c r="AX40" i="2"/>
  <c r="AY40" i="2" s="1"/>
  <c r="BA40" i="2" s="1"/>
  <c r="AX39" i="3"/>
  <c r="AY39" i="3" s="1"/>
  <c r="BA39" i="3" s="1"/>
  <c r="AV40" i="3"/>
  <c r="AW40" i="3"/>
  <c r="AZ42" i="3"/>
  <c r="AO44" i="3"/>
  <c r="AR42" i="3"/>
  <c r="AP42" i="3"/>
  <c r="AQ42" i="3"/>
  <c r="AX45" i="8"/>
  <c r="AY45" i="8" s="1"/>
  <c r="BA45" i="8" s="1"/>
  <c r="AZ47" i="8"/>
  <c r="AO48" i="8"/>
  <c r="AP47" i="8"/>
  <c r="AR47" i="8"/>
  <c r="AW46" i="8"/>
  <c r="AV46" i="8"/>
  <c r="AZ44" i="2"/>
  <c r="AP44" i="2"/>
  <c r="AR44" i="2"/>
  <c r="AO45" i="2"/>
  <c r="AQ45" i="2" s="1"/>
  <c r="AU42" i="2"/>
  <c r="AX41" i="2"/>
  <c r="AY41" i="2" s="1"/>
  <c r="BA41" i="2" s="1"/>
  <c r="AX66" i="9" l="1"/>
  <c r="AY66" i="9" s="1"/>
  <c r="BA66" i="9" s="1"/>
  <c r="AV67" i="9"/>
  <c r="AW67" i="9"/>
  <c r="AO69" i="9"/>
  <c r="AQ68" i="9"/>
  <c r="AZ68" i="9"/>
  <c r="AP68" i="9"/>
  <c r="AR68" i="9"/>
  <c r="AU68" i="9" s="1"/>
  <c r="AW41" i="3"/>
  <c r="AX41" i="3" s="1"/>
  <c r="AY41" i="3" s="1"/>
  <c r="BA41" i="3" s="1"/>
  <c r="AX46" i="8"/>
  <c r="AY46" i="8" s="1"/>
  <c r="BA46" i="8" s="1"/>
  <c r="AZ44" i="3"/>
  <c r="AO45" i="3"/>
  <c r="AP44" i="3"/>
  <c r="AR44" i="3"/>
  <c r="AQ44" i="3"/>
  <c r="AU42" i="3"/>
  <c r="AX40" i="3"/>
  <c r="AY40" i="3" s="1"/>
  <c r="BA40" i="3" s="1"/>
  <c r="AU47" i="8"/>
  <c r="AV47" i="8" s="1"/>
  <c r="AO49" i="8"/>
  <c r="AZ48" i="8"/>
  <c r="AP48" i="8"/>
  <c r="AR48" i="8"/>
  <c r="AV42" i="2"/>
  <c r="AW42" i="2"/>
  <c r="AZ45" i="2"/>
  <c r="AP45" i="2"/>
  <c r="AR45" i="2"/>
  <c r="AU45" i="2" s="1"/>
  <c r="AO46" i="2"/>
  <c r="AQ46" i="2" s="1"/>
  <c r="AU44" i="2"/>
  <c r="AX67" i="9" l="1"/>
  <c r="AY67" i="9" s="1"/>
  <c r="BA67" i="9" s="1"/>
  <c r="AV68" i="9"/>
  <c r="AW68" i="9"/>
  <c r="AO70" i="9"/>
  <c r="AQ69" i="9"/>
  <c r="AZ69" i="9"/>
  <c r="AP69" i="9"/>
  <c r="AR69" i="9"/>
  <c r="AU69" i="9" s="1"/>
  <c r="AW42" i="3"/>
  <c r="AV42" i="3"/>
  <c r="AZ45" i="3"/>
  <c r="AO46" i="3"/>
  <c r="AR45" i="3"/>
  <c r="AP45" i="3"/>
  <c r="AQ45" i="3"/>
  <c r="AU44" i="3"/>
  <c r="AW47" i="8"/>
  <c r="AX47" i="8" s="1"/>
  <c r="AY47" i="8" s="1"/>
  <c r="BA47" i="8" s="1"/>
  <c r="AU48" i="8"/>
  <c r="AW48" i="8" s="1"/>
  <c r="AZ49" i="8"/>
  <c r="AO50" i="8"/>
  <c r="AP49" i="8"/>
  <c r="AR49" i="8"/>
  <c r="AU49" i="8" s="1"/>
  <c r="AV45" i="2"/>
  <c r="AW45" i="2"/>
  <c r="AX42" i="2"/>
  <c r="AY42" i="2" s="1"/>
  <c r="BA42" i="2" s="1"/>
  <c r="AV44" i="2"/>
  <c r="AW44" i="2"/>
  <c r="AZ46" i="2"/>
  <c r="AP46" i="2"/>
  <c r="AR46" i="2"/>
  <c r="AU46" i="2" s="1"/>
  <c r="AO47" i="2"/>
  <c r="AQ47" i="2" s="1"/>
  <c r="AX68" i="9" l="1"/>
  <c r="AY68" i="9" s="1"/>
  <c r="BA68" i="9" s="1"/>
  <c r="AV69" i="9"/>
  <c r="AW69" i="9"/>
  <c r="AZ70" i="9"/>
  <c r="AQ70" i="9"/>
  <c r="AO71" i="9"/>
  <c r="AP70" i="9"/>
  <c r="AR70" i="9"/>
  <c r="AU70" i="9" s="1"/>
  <c r="AX42" i="3"/>
  <c r="AY42" i="3" s="1"/>
  <c r="BA42" i="3" s="1"/>
  <c r="AZ46" i="3"/>
  <c r="AO47" i="3"/>
  <c r="AP46" i="3"/>
  <c r="AR46" i="3"/>
  <c r="AQ46" i="3"/>
  <c r="AU45" i="3"/>
  <c r="AV44" i="3"/>
  <c r="AW44" i="3"/>
  <c r="AV48" i="8"/>
  <c r="AX48" i="8" s="1"/>
  <c r="AY48" i="8" s="1"/>
  <c r="BA48" i="8" s="1"/>
  <c r="AZ50" i="8"/>
  <c r="AO51" i="8"/>
  <c r="AP50" i="8"/>
  <c r="AR50" i="8"/>
  <c r="AV49" i="8"/>
  <c r="AW49" i="8"/>
  <c r="AX44" i="2"/>
  <c r="AY44" i="2" s="1"/>
  <c r="BA44" i="2" s="1"/>
  <c r="AZ47" i="2"/>
  <c r="AP47" i="2"/>
  <c r="AR47" i="2"/>
  <c r="AU47" i="2" s="1"/>
  <c r="AO48" i="2"/>
  <c r="AQ48" i="2" s="1"/>
  <c r="AV46" i="2"/>
  <c r="AW46" i="2"/>
  <c r="AX45" i="2"/>
  <c r="AY45" i="2" s="1"/>
  <c r="BA45" i="2" s="1"/>
  <c r="AX69" i="9" l="1"/>
  <c r="AY69" i="9" s="1"/>
  <c r="BA69" i="9" s="1"/>
  <c r="AV70" i="9"/>
  <c r="AW70" i="9"/>
  <c r="AZ71" i="9"/>
  <c r="AQ71" i="9"/>
  <c r="AO72" i="9"/>
  <c r="AP71" i="9"/>
  <c r="AR71" i="9"/>
  <c r="AU71" i="9" s="1"/>
  <c r="AX44" i="3"/>
  <c r="AY44" i="3" s="1"/>
  <c r="BA44" i="3" s="1"/>
  <c r="AV45" i="3"/>
  <c r="AW45" i="3"/>
  <c r="AZ47" i="3"/>
  <c r="AO48" i="3"/>
  <c r="AP47" i="3"/>
  <c r="AR47" i="3"/>
  <c r="AQ47" i="3"/>
  <c r="AU46" i="3"/>
  <c r="AU50" i="8"/>
  <c r="AV50" i="8" s="1"/>
  <c r="AX49" i="8"/>
  <c r="AY49" i="8" s="1"/>
  <c r="BA49" i="8" s="1"/>
  <c r="AO52" i="8"/>
  <c r="AZ51" i="8"/>
  <c r="AP51" i="8"/>
  <c r="AR51" i="8"/>
  <c r="AV47" i="2"/>
  <c r="AW47" i="2"/>
  <c r="AX46" i="2"/>
  <c r="AY46" i="2" s="1"/>
  <c r="BA46" i="2" s="1"/>
  <c r="AZ48" i="2"/>
  <c r="AP48" i="2"/>
  <c r="AR48" i="2"/>
  <c r="AU48" i="2" s="1"/>
  <c r="AO49" i="2"/>
  <c r="AQ49" i="2" s="1"/>
  <c r="AX70" i="9" l="1"/>
  <c r="AY70" i="9" s="1"/>
  <c r="BA70" i="9" s="1"/>
  <c r="AV71" i="9"/>
  <c r="AW71" i="9"/>
  <c r="AZ72" i="9"/>
  <c r="AQ72" i="9"/>
  <c r="AO73" i="9"/>
  <c r="AP72" i="9"/>
  <c r="AR72" i="9"/>
  <c r="AX47" i="2"/>
  <c r="AY47" i="2" s="1"/>
  <c r="BA47" i="2" s="1"/>
  <c r="AX45" i="3"/>
  <c r="AY45" i="3" s="1"/>
  <c r="BA45" i="3" s="1"/>
  <c r="AW46" i="3"/>
  <c r="AV46" i="3"/>
  <c r="AZ48" i="3"/>
  <c r="AP48" i="3"/>
  <c r="AO49" i="3"/>
  <c r="AR48" i="3"/>
  <c r="AQ48" i="3"/>
  <c r="AU47" i="3"/>
  <c r="AW50" i="8"/>
  <c r="AX50" i="8" s="1"/>
  <c r="AY50" i="8" s="1"/>
  <c r="BA50" i="8" s="1"/>
  <c r="AU51" i="8"/>
  <c r="AW51" i="8" s="1"/>
  <c r="AO53" i="8"/>
  <c r="AZ52" i="8"/>
  <c r="AP52" i="8"/>
  <c r="AR52" i="8"/>
  <c r="AZ49" i="2"/>
  <c r="AP49" i="2"/>
  <c r="AR49" i="2"/>
  <c r="AU49" i="2" s="1"/>
  <c r="AO50" i="2"/>
  <c r="AQ50" i="2" s="1"/>
  <c r="AV48" i="2"/>
  <c r="AW48" i="2"/>
  <c r="AX71" i="9" l="1"/>
  <c r="AY71" i="9" s="1"/>
  <c r="BA71" i="9" s="1"/>
  <c r="AU72" i="9"/>
  <c r="AW72" i="9" s="1"/>
  <c r="AQ73" i="9"/>
  <c r="AZ73" i="9"/>
  <c r="AO74" i="9"/>
  <c r="AP73" i="9"/>
  <c r="AR73" i="9"/>
  <c r="AU73" i="9" s="1"/>
  <c r="AX46" i="3"/>
  <c r="AY46" i="3" s="1"/>
  <c r="BA46" i="3" s="1"/>
  <c r="AW47" i="3"/>
  <c r="AV47" i="3"/>
  <c r="AU48" i="3"/>
  <c r="AZ49" i="3"/>
  <c r="AP49" i="3"/>
  <c r="AR49" i="3"/>
  <c r="AO50" i="3"/>
  <c r="AQ49" i="3"/>
  <c r="AU52" i="8"/>
  <c r="AV52" i="8" s="1"/>
  <c r="AV51" i="8"/>
  <c r="AX51" i="8" s="1"/>
  <c r="AY51" i="8" s="1"/>
  <c r="BA51" i="8" s="1"/>
  <c r="AZ53" i="8"/>
  <c r="AO54" i="8"/>
  <c r="AP53" i="8"/>
  <c r="AR53" i="8"/>
  <c r="AU53" i="8" s="1"/>
  <c r="AV49" i="2"/>
  <c r="AW49" i="2"/>
  <c r="AX48" i="2"/>
  <c r="AY48" i="2" s="1"/>
  <c r="BA48" i="2" s="1"/>
  <c r="AZ50" i="2"/>
  <c r="AP50" i="2"/>
  <c r="AR50" i="2"/>
  <c r="AU50" i="2" s="1"/>
  <c r="AO51" i="2"/>
  <c r="AQ51" i="2" s="1"/>
  <c r="AV72" i="9" l="1"/>
  <c r="AX72" i="9" s="1"/>
  <c r="AY72" i="9" s="1"/>
  <c r="BA72" i="9" s="1"/>
  <c r="AV73" i="9"/>
  <c r="AW73" i="9"/>
  <c r="AZ74" i="9"/>
  <c r="AQ74" i="9"/>
  <c r="AO75" i="9"/>
  <c r="AP74" i="9"/>
  <c r="AR74" i="9"/>
  <c r="AX47" i="3"/>
  <c r="AY47" i="3" s="1"/>
  <c r="BA47" i="3" s="1"/>
  <c r="AZ50" i="3"/>
  <c r="AR50" i="3"/>
  <c r="AP50" i="3"/>
  <c r="AQ50" i="3"/>
  <c r="AO51" i="3"/>
  <c r="AW48" i="3"/>
  <c r="AV48" i="3"/>
  <c r="AX49" i="2"/>
  <c r="AY49" i="2" s="1"/>
  <c r="BA49" i="2" s="1"/>
  <c r="AU49" i="3"/>
  <c r="AW52" i="8"/>
  <c r="AX52" i="8" s="1"/>
  <c r="AY52" i="8" s="1"/>
  <c r="BA52" i="8" s="1"/>
  <c r="AZ54" i="8"/>
  <c r="AO55" i="8"/>
  <c r="AP54" i="8"/>
  <c r="AR54" i="8"/>
  <c r="AV53" i="8"/>
  <c r="AW53" i="8"/>
  <c r="AZ51" i="2"/>
  <c r="AP51" i="2"/>
  <c r="AR51" i="2"/>
  <c r="AU51" i="2" s="1"/>
  <c r="AO52" i="2"/>
  <c r="AQ52" i="2" s="1"/>
  <c r="AV50" i="2"/>
  <c r="AW50" i="2"/>
  <c r="AU74" i="9" l="1"/>
  <c r="AV74" i="9" s="1"/>
  <c r="AX73" i="9"/>
  <c r="AY73" i="9" s="1"/>
  <c r="BA73" i="9" s="1"/>
  <c r="AZ75" i="9"/>
  <c r="AQ75" i="9"/>
  <c r="AO76" i="9"/>
  <c r="AP75" i="9"/>
  <c r="AR75" i="9"/>
  <c r="AU75" i="9" s="1"/>
  <c r="AU50" i="3"/>
  <c r="AV50" i="3" s="1"/>
  <c r="AX48" i="3"/>
  <c r="AY48" i="3" s="1"/>
  <c r="BA48" i="3" s="1"/>
  <c r="AV49" i="3"/>
  <c r="AW49" i="3"/>
  <c r="AZ51" i="3"/>
  <c r="AR51" i="3"/>
  <c r="AP51" i="3"/>
  <c r="AQ51" i="3"/>
  <c r="AO52" i="3"/>
  <c r="AU54" i="8"/>
  <c r="AV54" i="8" s="1"/>
  <c r="AX53" i="8"/>
  <c r="AY53" i="8" s="1"/>
  <c r="BA53" i="8" s="1"/>
  <c r="AO56" i="8"/>
  <c r="AZ55" i="8"/>
  <c r="AP55" i="8"/>
  <c r="AR55" i="8"/>
  <c r="AV51" i="2"/>
  <c r="AW51" i="2"/>
  <c r="AX50" i="2"/>
  <c r="AY50" i="2" s="1"/>
  <c r="BA50" i="2" s="1"/>
  <c r="AZ52" i="2"/>
  <c r="AP52" i="2"/>
  <c r="AR52" i="2"/>
  <c r="AU52" i="2" s="1"/>
  <c r="AO53" i="2"/>
  <c r="AQ53" i="2" s="1"/>
  <c r="AW74" i="9" l="1"/>
  <c r="AX74" i="9" s="1"/>
  <c r="AY74" i="9" s="1"/>
  <c r="BA74" i="9" s="1"/>
  <c r="AV75" i="9"/>
  <c r="AW75" i="9"/>
  <c r="AO77" i="9"/>
  <c r="AZ76" i="9"/>
  <c r="AQ76" i="9"/>
  <c r="AP76" i="9"/>
  <c r="AR76" i="9"/>
  <c r="AU76" i="9" s="1"/>
  <c r="AW50" i="3"/>
  <c r="AX50" i="3" s="1"/>
  <c r="AY50" i="3" s="1"/>
  <c r="BA50" i="3" s="1"/>
  <c r="AX49" i="3"/>
  <c r="AY49" i="3" s="1"/>
  <c r="BA49" i="3" s="1"/>
  <c r="AZ52" i="3"/>
  <c r="AP52" i="3"/>
  <c r="AR52" i="3"/>
  <c r="AQ52" i="3"/>
  <c r="AO53" i="3"/>
  <c r="AU51" i="3"/>
  <c r="AW54" i="8"/>
  <c r="AX54" i="8" s="1"/>
  <c r="AY54" i="8" s="1"/>
  <c r="BA54" i="8" s="1"/>
  <c r="AU55" i="8"/>
  <c r="AW55" i="8" s="1"/>
  <c r="AO57" i="8"/>
  <c r="AZ56" i="8"/>
  <c r="AP56" i="8"/>
  <c r="AR56" i="8"/>
  <c r="AX51" i="2"/>
  <c r="AY51" i="2" s="1"/>
  <c r="BA51" i="2" s="1"/>
  <c r="AZ53" i="2"/>
  <c r="AP53" i="2"/>
  <c r="AR53" i="2"/>
  <c r="AU53" i="2" s="1"/>
  <c r="AO54" i="2"/>
  <c r="AQ54" i="2" s="1"/>
  <c r="AV52" i="2"/>
  <c r="AW52" i="2"/>
  <c r="AX75" i="9" l="1"/>
  <c r="AY75" i="9" s="1"/>
  <c r="BA75" i="9" s="1"/>
  <c r="AV76" i="9"/>
  <c r="AW76" i="9"/>
  <c r="AZ77" i="9"/>
  <c r="AO78" i="9"/>
  <c r="AQ77" i="9"/>
  <c r="AP77" i="9"/>
  <c r="AR77" i="9"/>
  <c r="AU77" i="9" s="1"/>
  <c r="AU52" i="3"/>
  <c r="AW52" i="3" s="1"/>
  <c r="AV51" i="3"/>
  <c r="AW51" i="3"/>
  <c r="AZ53" i="3"/>
  <c r="AP53" i="3"/>
  <c r="AR53" i="3"/>
  <c r="AQ53" i="3"/>
  <c r="AO54" i="3"/>
  <c r="AU56" i="8"/>
  <c r="AV56" i="8" s="1"/>
  <c r="AV55" i="8"/>
  <c r="AX55" i="8" s="1"/>
  <c r="AY55" i="8" s="1"/>
  <c r="BA55" i="8" s="1"/>
  <c r="AZ57" i="8"/>
  <c r="AO58" i="8"/>
  <c r="AP57" i="8"/>
  <c r="AR57" i="8"/>
  <c r="AU57" i="8" s="1"/>
  <c r="AV53" i="2"/>
  <c r="AW53" i="2"/>
  <c r="AX52" i="2"/>
  <c r="AY52" i="2" s="1"/>
  <c r="BA52" i="2" s="1"/>
  <c r="AZ54" i="2"/>
  <c r="AP54" i="2"/>
  <c r="AR54" i="2"/>
  <c r="AU54" i="2" s="1"/>
  <c r="AO55" i="2"/>
  <c r="AQ55" i="2" s="1"/>
  <c r="AX76" i="9" l="1"/>
  <c r="AY76" i="9" s="1"/>
  <c r="BA76" i="9" s="1"/>
  <c r="AV77" i="9"/>
  <c r="AW77" i="9"/>
  <c r="AO79" i="9"/>
  <c r="AZ78" i="9"/>
  <c r="AQ78" i="9"/>
  <c r="AP78" i="9"/>
  <c r="AR78" i="9"/>
  <c r="AU78" i="9" s="1"/>
  <c r="AV52" i="3"/>
  <c r="AX52" i="3" s="1"/>
  <c r="AY52" i="3" s="1"/>
  <c r="BA52" i="3" s="1"/>
  <c r="AX51" i="3"/>
  <c r="AY51" i="3" s="1"/>
  <c r="BA51" i="3" s="1"/>
  <c r="AZ54" i="3"/>
  <c r="AP54" i="3"/>
  <c r="AR54" i="3"/>
  <c r="AQ54" i="3"/>
  <c r="AO55" i="3"/>
  <c r="AU53" i="3"/>
  <c r="AW56" i="8"/>
  <c r="AX56" i="8" s="1"/>
  <c r="AY56" i="8" s="1"/>
  <c r="BA56" i="8" s="1"/>
  <c r="AZ58" i="8"/>
  <c r="AO59" i="8"/>
  <c r="AP58" i="8"/>
  <c r="AR58" i="8"/>
  <c r="AV57" i="8"/>
  <c r="AW57" i="8"/>
  <c r="AX53" i="2"/>
  <c r="AY53" i="2" s="1"/>
  <c r="BA53" i="2" s="1"/>
  <c r="AZ55" i="2"/>
  <c r="AP55" i="2"/>
  <c r="AR55" i="2"/>
  <c r="AU55" i="2" s="1"/>
  <c r="AO56" i="2"/>
  <c r="AQ56" i="2" s="1"/>
  <c r="AV54" i="2"/>
  <c r="AW54" i="2"/>
  <c r="AX77" i="9" l="1"/>
  <c r="AY77" i="9" s="1"/>
  <c r="BA77" i="9" s="1"/>
  <c r="AW78" i="9"/>
  <c r="AV78" i="9"/>
  <c r="AZ79" i="9"/>
  <c r="AO80" i="9"/>
  <c r="AQ79" i="9"/>
  <c r="AP79" i="9"/>
  <c r="AR79" i="9"/>
  <c r="AU79" i="9" s="1"/>
  <c r="AU54" i="3"/>
  <c r="AV54" i="3" s="1"/>
  <c r="AW53" i="3"/>
  <c r="AV53" i="3"/>
  <c r="AZ55" i="3"/>
  <c r="AP55" i="3"/>
  <c r="AR55" i="3"/>
  <c r="AQ55" i="3"/>
  <c r="AO56" i="3"/>
  <c r="AU58" i="8"/>
  <c r="AV58" i="8" s="1"/>
  <c r="AX57" i="8"/>
  <c r="AY57" i="8" s="1"/>
  <c r="BA57" i="8" s="1"/>
  <c r="AO60" i="8"/>
  <c r="AZ59" i="8"/>
  <c r="AP59" i="8"/>
  <c r="AR59" i="8"/>
  <c r="AV55" i="2"/>
  <c r="AW55" i="2"/>
  <c r="AX54" i="2"/>
  <c r="AY54" i="2" s="1"/>
  <c r="BA54" i="2" s="1"/>
  <c r="AZ56" i="2"/>
  <c r="AP56" i="2"/>
  <c r="AR56" i="2"/>
  <c r="AU56" i="2" s="1"/>
  <c r="AO57" i="2"/>
  <c r="AQ57" i="2" s="1"/>
  <c r="AX78" i="9" l="1"/>
  <c r="AY78" i="9" s="1"/>
  <c r="BA78" i="9" s="1"/>
  <c r="AV79" i="9"/>
  <c r="AW79" i="9"/>
  <c r="AO81" i="9"/>
  <c r="AZ80" i="9"/>
  <c r="AQ80" i="9"/>
  <c r="AP80" i="9"/>
  <c r="AR80" i="9"/>
  <c r="AU80" i="9" s="1"/>
  <c r="AW54" i="3"/>
  <c r="AX54" i="3" s="1"/>
  <c r="AY54" i="3" s="1"/>
  <c r="BA54" i="3" s="1"/>
  <c r="AU55" i="3"/>
  <c r="AV55" i="3" s="1"/>
  <c r="AX53" i="3"/>
  <c r="AY53" i="3" s="1"/>
  <c r="BA53" i="3" s="1"/>
  <c r="AZ56" i="3"/>
  <c r="AP56" i="3"/>
  <c r="AR56" i="3"/>
  <c r="AQ56" i="3"/>
  <c r="AO57" i="3"/>
  <c r="AW58" i="8"/>
  <c r="AX58" i="8" s="1"/>
  <c r="AY58" i="8" s="1"/>
  <c r="BA58" i="8" s="1"/>
  <c r="AU59" i="8"/>
  <c r="AW59" i="8" s="1"/>
  <c r="AO61" i="8"/>
  <c r="AZ60" i="8"/>
  <c r="AP60" i="8"/>
  <c r="AR60" i="8"/>
  <c r="AX55" i="2"/>
  <c r="AY55" i="2" s="1"/>
  <c r="BA55" i="2" s="1"/>
  <c r="AZ57" i="2"/>
  <c r="AP57" i="2"/>
  <c r="AR57" i="2"/>
  <c r="AU57" i="2" s="1"/>
  <c r="AO58" i="2"/>
  <c r="AQ58" i="2" s="1"/>
  <c r="AV56" i="2"/>
  <c r="AW56" i="2"/>
  <c r="AX79" i="9" l="1"/>
  <c r="AY79" i="9" s="1"/>
  <c r="BA79" i="9" s="1"/>
  <c r="AW80" i="9"/>
  <c r="AV80" i="9"/>
  <c r="AX80" i="9" s="1"/>
  <c r="AY80" i="9" s="1"/>
  <c r="BA80" i="9" s="1"/>
  <c r="AZ81" i="9"/>
  <c r="AO82" i="9"/>
  <c r="AQ81" i="9"/>
  <c r="AP81" i="9"/>
  <c r="AR81" i="9"/>
  <c r="AU81" i="9" s="1"/>
  <c r="AW55" i="3"/>
  <c r="AX55" i="3" s="1"/>
  <c r="AY55" i="3" s="1"/>
  <c r="BA55" i="3" s="1"/>
  <c r="AZ57" i="3"/>
  <c r="AP57" i="3"/>
  <c r="AR57" i="3"/>
  <c r="AQ57" i="3"/>
  <c r="AO58" i="3"/>
  <c r="AU56" i="3"/>
  <c r="AU60" i="8"/>
  <c r="AV60" i="8" s="1"/>
  <c r="AV59" i="8"/>
  <c r="AX59" i="8" s="1"/>
  <c r="AY59" i="8" s="1"/>
  <c r="BA59" i="8" s="1"/>
  <c r="AZ61" i="8"/>
  <c r="AO62" i="8"/>
  <c r="AP61" i="8"/>
  <c r="AR61" i="8"/>
  <c r="AU61" i="8" s="1"/>
  <c r="AV57" i="2"/>
  <c r="AW57" i="2"/>
  <c r="AX56" i="2"/>
  <c r="AY56" i="2" s="1"/>
  <c r="BA56" i="2" s="1"/>
  <c r="AZ58" i="2"/>
  <c r="AP58" i="2"/>
  <c r="AR58" i="2"/>
  <c r="AU58" i="2" s="1"/>
  <c r="AO59" i="2"/>
  <c r="AQ59" i="2" s="1"/>
  <c r="AV81" i="9" l="1"/>
  <c r="AX81" i="9" s="1"/>
  <c r="AY81" i="9" s="1"/>
  <c r="BA81" i="9" s="1"/>
  <c r="AW81" i="9"/>
  <c r="AO83" i="9"/>
  <c r="AQ82" i="9"/>
  <c r="AZ82" i="9"/>
  <c r="AP82" i="9"/>
  <c r="AR82" i="9"/>
  <c r="AU82" i="9" s="1"/>
  <c r="AU57" i="3"/>
  <c r="AW57" i="3" s="1"/>
  <c r="AX57" i="2"/>
  <c r="AY57" i="2" s="1"/>
  <c r="BA57" i="2" s="1"/>
  <c r="AW56" i="3"/>
  <c r="AV56" i="3"/>
  <c r="AZ58" i="3"/>
  <c r="AP58" i="3"/>
  <c r="AR58" i="3"/>
  <c r="AQ58" i="3"/>
  <c r="AO59" i="3"/>
  <c r="AW60" i="8"/>
  <c r="AX60" i="8" s="1"/>
  <c r="AY60" i="8" s="1"/>
  <c r="BA60" i="8" s="1"/>
  <c r="AO63" i="8"/>
  <c r="AZ62" i="8"/>
  <c r="AP62" i="8"/>
  <c r="AR62" i="8"/>
  <c r="AV61" i="8"/>
  <c r="AW61" i="8"/>
  <c r="AZ59" i="2"/>
  <c r="AP59" i="2"/>
  <c r="AR59" i="2"/>
  <c r="AU59" i="2" s="1"/>
  <c r="AO60" i="2"/>
  <c r="AQ60" i="2" s="1"/>
  <c r="AV58" i="2"/>
  <c r="AW58" i="2"/>
  <c r="AW82" i="9" l="1"/>
  <c r="AV82" i="9"/>
  <c r="AO84" i="9"/>
  <c r="AQ83" i="9"/>
  <c r="AZ83" i="9"/>
  <c r="AP83" i="9"/>
  <c r="AR83" i="9"/>
  <c r="AU83" i="9" s="1"/>
  <c r="AV57" i="3"/>
  <c r="AX57" i="3" s="1"/>
  <c r="AY57" i="3" s="1"/>
  <c r="BA57" i="3" s="1"/>
  <c r="AU58" i="3"/>
  <c r="AW58" i="3" s="1"/>
  <c r="AX56" i="3"/>
  <c r="AY56" i="3" s="1"/>
  <c r="BA56" i="3" s="1"/>
  <c r="AZ59" i="3"/>
  <c r="AR59" i="3"/>
  <c r="AP59" i="3"/>
  <c r="AQ59" i="3"/>
  <c r="AO60" i="3"/>
  <c r="AU62" i="8"/>
  <c r="AW62" i="8" s="1"/>
  <c r="AX61" i="8"/>
  <c r="AY61" i="8" s="1"/>
  <c r="BA61" i="8" s="1"/>
  <c r="AO64" i="8"/>
  <c r="AZ63" i="8"/>
  <c r="AP63" i="8"/>
  <c r="AR63" i="8"/>
  <c r="AV59" i="2"/>
  <c r="AW59" i="2"/>
  <c r="AX58" i="2"/>
  <c r="AY58" i="2" s="1"/>
  <c r="BA58" i="2" s="1"/>
  <c r="AZ60" i="2"/>
  <c r="AP60" i="2"/>
  <c r="AR60" i="2"/>
  <c r="AU60" i="2" s="1"/>
  <c r="AO61" i="2"/>
  <c r="AQ61" i="2" s="1"/>
  <c r="AX82" i="9" l="1"/>
  <c r="AY82" i="9" s="1"/>
  <c r="BA82" i="9" s="1"/>
  <c r="AV83" i="9"/>
  <c r="AW83" i="9"/>
  <c r="AO85" i="9"/>
  <c r="AZ84" i="9"/>
  <c r="AQ84" i="9"/>
  <c r="AP84" i="9"/>
  <c r="AR84" i="9"/>
  <c r="AU84" i="9" s="1"/>
  <c r="AV58" i="3"/>
  <c r="AX58" i="3" s="1"/>
  <c r="AY58" i="3" s="1"/>
  <c r="BA58" i="3" s="1"/>
  <c r="AU59" i="3"/>
  <c r="AW59" i="3" s="1"/>
  <c r="AX59" i="2"/>
  <c r="AY59" i="2" s="1"/>
  <c r="BA59" i="2" s="1"/>
  <c r="AZ60" i="3"/>
  <c r="AP60" i="3"/>
  <c r="AR60" i="3"/>
  <c r="AQ60" i="3"/>
  <c r="AO61" i="3"/>
  <c r="AV62" i="8"/>
  <c r="AX62" i="8" s="1"/>
  <c r="AY62" i="8" s="1"/>
  <c r="BA62" i="8" s="1"/>
  <c r="AU63" i="8"/>
  <c r="AO65" i="8"/>
  <c r="AZ64" i="8"/>
  <c r="AP64" i="8"/>
  <c r="AR64" i="8"/>
  <c r="AU64" i="8" s="1"/>
  <c r="AZ61" i="2"/>
  <c r="AP61" i="2"/>
  <c r="AR61" i="2"/>
  <c r="AU61" i="2" s="1"/>
  <c r="AO62" i="2"/>
  <c r="AQ62" i="2" s="1"/>
  <c r="AV60" i="2"/>
  <c r="AW60" i="2"/>
  <c r="AX83" i="9" l="1"/>
  <c r="AY83" i="9" s="1"/>
  <c r="BA83" i="9" s="1"/>
  <c r="AW84" i="9"/>
  <c r="AV84" i="9"/>
  <c r="AX84" i="9" s="1"/>
  <c r="AY84" i="9" s="1"/>
  <c r="BA84" i="9" s="1"/>
  <c r="AO86" i="9"/>
  <c r="AZ85" i="9"/>
  <c r="AQ85" i="9"/>
  <c r="AP85" i="9"/>
  <c r="AR85" i="9"/>
  <c r="AU85" i="9" s="1"/>
  <c r="AV59" i="3"/>
  <c r="AX59" i="3" s="1"/>
  <c r="AY59" i="3" s="1"/>
  <c r="BA59" i="3" s="1"/>
  <c r="AX60" i="2"/>
  <c r="AY60" i="2" s="1"/>
  <c r="BA60" i="2" s="1"/>
  <c r="AU60" i="3"/>
  <c r="AV60" i="3" s="1"/>
  <c r="AZ61" i="3"/>
  <c r="AR61" i="3"/>
  <c r="AP61" i="3"/>
  <c r="AQ61" i="3"/>
  <c r="AO62" i="3"/>
  <c r="AW64" i="8"/>
  <c r="AV64" i="8"/>
  <c r="AO66" i="8"/>
  <c r="AZ65" i="8"/>
  <c r="AP65" i="8"/>
  <c r="AR65" i="8"/>
  <c r="AW63" i="8"/>
  <c r="AV63" i="8"/>
  <c r="AV61" i="2"/>
  <c r="AW61" i="2"/>
  <c r="AZ62" i="2"/>
  <c r="AP62" i="2"/>
  <c r="AR62" i="2"/>
  <c r="AU62" i="2" s="1"/>
  <c r="AO63" i="2"/>
  <c r="AQ63" i="2" s="1"/>
  <c r="AV85" i="9" l="1"/>
  <c r="AX85" i="9" s="1"/>
  <c r="AY85" i="9" s="1"/>
  <c r="BA85" i="9" s="1"/>
  <c r="AW85" i="9"/>
  <c r="AZ86" i="9"/>
  <c r="AQ86" i="9"/>
  <c r="AO87" i="9"/>
  <c r="AP86" i="9"/>
  <c r="AR86" i="9"/>
  <c r="AU86" i="9" s="1"/>
  <c r="AU61" i="3"/>
  <c r="AW61" i="3" s="1"/>
  <c r="AW60" i="3"/>
  <c r="AX60" i="3" s="1"/>
  <c r="AY60" i="3" s="1"/>
  <c r="BA60" i="3" s="1"/>
  <c r="AX61" i="2"/>
  <c r="AY61" i="2" s="1"/>
  <c r="BA61" i="2" s="1"/>
  <c r="AX63" i="8"/>
  <c r="AY63" i="8" s="1"/>
  <c r="BA63" i="8" s="1"/>
  <c r="AX64" i="8"/>
  <c r="AY64" i="8" s="1"/>
  <c r="BA64" i="8" s="1"/>
  <c r="AZ62" i="3"/>
  <c r="AP62" i="3"/>
  <c r="AR62" i="3"/>
  <c r="AQ62" i="3"/>
  <c r="AU62" i="3" s="1"/>
  <c r="AO63" i="3"/>
  <c r="AU65" i="8"/>
  <c r="AW65" i="8" s="1"/>
  <c r="AO67" i="8"/>
  <c r="AZ66" i="8"/>
  <c r="AP66" i="8"/>
  <c r="AR66" i="8"/>
  <c r="AV62" i="2"/>
  <c r="AW62" i="2"/>
  <c r="AZ63" i="2"/>
  <c r="AP63" i="2"/>
  <c r="AR63" i="2"/>
  <c r="AU63" i="2" s="1"/>
  <c r="AO64" i="2"/>
  <c r="AQ64" i="2" s="1"/>
  <c r="AW86" i="9" l="1"/>
  <c r="AV86" i="9"/>
  <c r="AO88" i="9"/>
  <c r="AQ87" i="9"/>
  <c r="AZ87" i="9"/>
  <c r="AP87" i="9"/>
  <c r="AR87" i="9"/>
  <c r="AU87" i="9" s="1"/>
  <c r="AV61" i="3"/>
  <c r="AX61" i="3" s="1"/>
  <c r="AY61" i="3" s="1"/>
  <c r="BA61" i="3" s="1"/>
  <c r="AX62" i="2"/>
  <c r="AY62" i="2" s="1"/>
  <c r="BA62" i="2" s="1"/>
  <c r="AZ63" i="3"/>
  <c r="AP63" i="3"/>
  <c r="AR63" i="3"/>
  <c r="AQ63" i="3"/>
  <c r="AO64" i="3"/>
  <c r="AV62" i="3"/>
  <c r="AW62" i="3"/>
  <c r="AU66" i="8"/>
  <c r="AW66" i="8" s="1"/>
  <c r="AV65" i="8"/>
  <c r="AX65" i="8" s="1"/>
  <c r="AY65" i="8" s="1"/>
  <c r="BA65" i="8" s="1"/>
  <c r="AO68" i="8"/>
  <c r="AZ67" i="8"/>
  <c r="AP67" i="8"/>
  <c r="AR67" i="8"/>
  <c r="AV63" i="2"/>
  <c r="AW63" i="2"/>
  <c r="AZ64" i="2"/>
  <c r="AP64" i="2"/>
  <c r="AR64" i="2"/>
  <c r="AU64" i="2" s="1"/>
  <c r="AO65" i="2"/>
  <c r="AQ65" i="2" s="1"/>
  <c r="AX86" i="9" l="1"/>
  <c r="AY86" i="9" s="1"/>
  <c r="BA86" i="9" s="1"/>
  <c r="AV87" i="9"/>
  <c r="AW87" i="9"/>
  <c r="AQ88" i="9"/>
  <c r="AO89" i="9"/>
  <c r="AZ88" i="9"/>
  <c r="AP88" i="9"/>
  <c r="AR88" i="9"/>
  <c r="AU88" i="9" s="1"/>
  <c r="AU63" i="3"/>
  <c r="AV63" i="3" s="1"/>
  <c r="AX63" i="2"/>
  <c r="AY63" i="2" s="1"/>
  <c r="BA63" i="2" s="1"/>
  <c r="AX62" i="3"/>
  <c r="AY62" i="3" s="1"/>
  <c r="BA62" i="3" s="1"/>
  <c r="AZ64" i="3"/>
  <c r="AR64" i="3"/>
  <c r="AP64" i="3"/>
  <c r="AQ64" i="3"/>
  <c r="AO65" i="3"/>
  <c r="AU67" i="8"/>
  <c r="AW67" i="8" s="1"/>
  <c r="AV66" i="8"/>
  <c r="AX66" i="8" s="1"/>
  <c r="AY66" i="8" s="1"/>
  <c r="BA66" i="8" s="1"/>
  <c r="AO69" i="8"/>
  <c r="AZ68" i="8"/>
  <c r="AP68" i="8"/>
  <c r="AR68" i="8"/>
  <c r="AV64" i="2"/>
  <c r="AW64" i="2"/>
  <c r="AZ65" i="2"/>
  <c r="AP65" i="2"/>
  <c r="AR65" i="2"/>
  <c r="AU65" i="2" s="1"/>
  <c r="AO66" i="2"/>
  <c r="AQ66" i="2" s="1"/>
  <c r="AX87" i="9" l="1"/>
  <c r="AY87" i="9" s="1"/>
  <c r="BA87" i="9" s="1"/>
  <c r="AV88" i="9"/>
  <c r="AW88" i="9"/>
  <c r="AZ89" i="9"/>
  <c r="AQ89" i="9"/>
  <c r="AO90" i="9"/>
  <c r="AP89" i="9"/>
  <c r="AR89" i="9"/>
  <c r="AU89" i="9" s="1"/>
  <c r="AW63" i="3"/>
  <c r="AX63" i="3" s="1"/>
  <c r="AY63" i="3" s="1"/>
  <c r="BA63" i="3" s="1"/>
  <c r="AU64" i="3"/>
  <c r="AX64" i="2"/>
  <c r="AY64" i="2" s="1"/>
  <c r="BA64" i="2" s="1"/>
  <c r="AZ65" i="3"/>
  <c r="AR65" i="3"/>
  <c r="AP65" i="3"/>
  <c r="AQ65" i="3"/>
  <c r="AO67" i="3"/>
  <c r="AU68" i="8"/>
  <c r="AW68" i="8" s="1"/>
  <c r="AV67" i="8"/>
  <c r="AX67" i="8" s="1"/>
  <c r="AY67" i="8" s="1"/>
  <c r="BA67" i="8" s="1"/>
  <c r="AO70" i="8"/>
  <c r="AZ69" i="8"/>
  <c r="AP69" i="8"/>
  <c r="AR69" i="8"/>
  <c r="AV65" i="2"/>
  <c r="AW65" i="2"/>
  <c r="AZ66" i="2"/>
  <c r="AP66" i="2"/>
  <c r="AR66" i="2"/>
  <c r="AU66" i="2" s="1"/>
  <c r="AO67" i="2"/>
  <c r="AQ67" i="2" s="1"/>
  <c r="AX88" i="9" l="1"/>
  <c r="AY88" i="9" s="1"/>
  <c r="BA88" i="9" s="1"/>
  <c r="AW89" i="9"/>
  <c r="AV89" i="9"/>
  <c r="AX89" i="9" s="1"/>
  <c r="AY89" i="9" s="1"/>
  <c r="BA89" i="9" s="1"/>
  <c r="AO91" i="9"/>
  <c r="AQ90" i="9"/>
  <c r="AZ90" i="9"/>
  <c r="AP90" i="9"/>
  <c r="AR90" i="9"/>
  <c r="AU90" i="9" s="1"/>
  <c r="AU65" i="3"/>
  <c r="AW65" i="3" s="1"/>
  <c r="AZ67" i="3"/>
  <c r="AP67" i="3"/>
  <c r="AR67" i="3"/>
  <c r="AQ67" i="3"/>
  <c r="AO68" i="3"/>
  <c r="AV64" i="3"/>
  <c r="AW64" i="3"/>
  <c r="AX65" i="2"/>
  <c r="AY65" i="2" s="1"/>
  <c r="BA65" i="2" s="1"/>
  <c r="AU69" i="8"/>
  <c r="AW69" i="8" s="1"/>
  <c r="AV68" i="8"/>
  <c r="AX68" i="8" s="1"/>
  <c r="AY68" i="8" s="1"/>
  <c r="BA68" i="8" s="1"/>
  <c r="AO71" i="8"/>
  <c r="AZ70" i="8"/>
  <c r="AP70" i="8"/>
  <c r="AR70" i="8"/>
  <c r="AV66" i="2"/>
  <c r="AW66" i="2"/>
  <c r="AZ67" i="2"/>
  <c r="AP67" i="2"/>
  <c r="AR67" i="2"/>
  <c r="AU67" i="2" s="1"/>
  <c r="AO68" i="2"/>
  <c r="AQ68" i="2" s="1"/>
  <c r="AV90" i="9" l="1"/>
  <c r="AX90" i="9" s="1"/>
  <c r="AY90" i="9" s="1"/>
  <c r="BA90" i="9" s="1"/>
  <c r="AW90" i="9"/>
  <c r="AQ91" i="9"/>
  <c r="AO92" i="9"/>
  <c r="AZ91" i="9"/>
  <c r="AP91" i="9"/>
  <c r="AR91" i="9"/>
  <c r="AU91" i="9" s="1"/>
  <c r="AV65" i="3"/>
  <c r="AX65" i="3" s="1"/>
  <c r="AY65" i="3" s="1"/>
  <c r="BA65" i="3" s="1"/>
  <c r="AU67" i="3"/>
  <c r="AW67" i="3" s="1"/>
  <c r="AX64" i="3"/>
  <c r="AY64" i="3" s="1"/>
  <c r="BA64" i="3" s="1"/>
  <c r="AX66" i="2"/>
  <c r="AY66" i="2" s="1"/>
  <c r="BA66" i="2" s="1"/>
  <c r="AZ68" i="3"/>
  <c r="AR68" i="3"/>
  <c r="AP68" i="3"/>
  <c r="AQ68" i="3"/>
  <c r="AO69" i="3"/>
  <c r="AU70" i="8"/>
  <c r="AW70" i="8" s="1"/>
  <c r="AV69" i="8"/>
  <c r="AX69" i="8" s="1"/>
  <c r="AY69" i="8" s="1"/>
  <c r="BA69" i="8" s="1"/>
  <c r="AZ71" i="8"/>
  <c r="AO72" i="8"/>
  <c r="AP71" i="8"/>
  <c r="AR71" i="8"/>
  <c r="AV67" i="2"/>
  <c r="AW67" i="2"/>
  <c r="AZ68" i="2"/>
  <c r="AP68" i="2"/>
  <c r="AR68" i="2"/>
  <c r="AU68" i="2" s="1"/>
  <c r="AO69" i="2"/>
  <c r="AQ69" i="2" s="1"/>
  <c r="AW91" i="9" l="1"/>
  <c r="AV91" i="9"/>
  <c r="AZ92" i="9"/>
  <c r="AQ92" i="9"/>
  <c r="AO93" i="9"/>
  <c r="AP92" i="9"/>
  <c r="AR92" i="9"/>
  <c r="AU92" i="9" s="1"/>
  <c r="AV67" i="3"/>
  <c r="AX67" i="3" s="1"/>
  <c r="AY67" i="3" s="1"/>
  <c r="BA67" i="3" s="1"/>
  <c r="AU68" i="3"/>
  <c r="AX67" i="2"/>
  <c r="AY67" i="2" s="1"/>
  <c r="BA67" i="2" s="1"/>
  <c r="AZ69" i="3"/>
  <c r="AR69" i="3"/>
  <c r="AP69" i="3"/>
  <c r="AQ69" i="3"/>
  <c r="AO70" i="3"/>
  <c r="AU71" i="8"/>
  <c r="AV71" i="8" s="1"/>
  <c r="AV70" i="8"/>
  <c r="AX70" i="8" s="1"/>
  <c r="AY70" i="8" s="1"/>
  <c r="BA70" i="8" s="1"/>
  <c r="AZ72" i="8"/>
  <c r="AO73" i="8"/>
  <c r="AP72" i="8"/>
  <c r="AR72" i="8"/>
  <c r="AV68" i="2"/>
  <c r="AW68" i="2"/>
  <c r="AZ69" i="2"/>
  <c r="AP69" i="2"/>
  <c r="AR69" i="2"/>
  <c r="AU69" i="2" s="1"/>
  <c r="AO70" i="2"/>
  <c r="AQ70" i="2" s="1"/>
  <c r="AX91" i="9" l="1"/>
  <c r="AY91" i="9" s="1"/>
  <c r="BA91" i="9" s="1"/>
  <c r="AV92" i="9"/>
  <c r="AW92" i="9"/>
  <c r="AZ93" i="9"/>
  <c r="AO94" i="9"/>
  <c r="AQ93" i="9"/>
  <c r="AP93" i="9"/>
  <c r="AR93" i="9"/>
  <c r="AU93" i="9" s="1"/>
  <c r="AU69" i="3"/>
  <c r="AX68" i="2"/>
  <c r="AY68" i="2" s="1"/>
  <c r="BA68" i="2" s="1"/>
  <c r="AZ70" i="3"/>
  <c r="AR70" i="3"/>
  <c r="AP70" i="3"/>
  <c r="AQ70" i="3"/>
  <c r="AO71" i="3"/>
  <c r="AW68" i="3"/>
  <c r="AV68" i="3"/>
  <c r="AW71" i="8"/>
  <c r="AX71" i="8" s="1"/>
  <c r="AY71" i="8" s="1"/>
  <c r="BA71" i="8" s="1"/>
  <c r="AU72" i="8"/>
  <c r="AV72" i="8" s="1"/>
  <c r="AZ73" i="8"/>
  <c r="AO74" i="8"/>
  <c r="AP73" i="8"/>
  <c r="AR73" i="8"/>
  <c r="AV69" i="2"/>
  <c r="AW69" i="2"/>
  <c r="AZ70" i="2"/>
  <c r="AP70" i="2"/>
  <c r="AR70" i="2"/>
  <c r="AU70" i="2" s="1"/>
  <c r="AO71" i="2"/>
  <c r="AQ71" i="2" s="1"/>
  <c r="AX92" i="9" l="1"/>
  <c r="AY92" i="9" s="1"/>
  <c r="BA92" i="9" s="1"/>
  <c r="AV93" i="9"/>
  <c r="AW93" i="9"/>
  <c r="AO95" i="9"/>
  <c r="AQ94" i="9"/>
  <c r="AZ94" i="9"/>
  <c r="AP94" i="9"/>
  <c r="AR94" i="9"/>
  <c r="AU94" i="9" s="1"/>
  <c r="AX69" i="2"/>
  <c r="AY69" i="2" s="1"/>
  <c r="BA69" i="2" s="1"/>
  <c r="AX68" i="3"/>
  <c r="AY68" i="3" s="1"/>
  <c r="BA68" i="3" s="1"/>
  <c r="AU70" i="3"/>
  <c r="AV70" i="3" s="1"/>
  <c r="AZ71" i="3"/>
  <c r="AR71" i="3"/>
  <c r="AP71" i="3"/>
  <c r="AQ71" i="3"/>
  <c r="AO72" i="3"/>
  <c r="AV69" i="3"/>
  <c r="AW69" i="3"/>
  <c r="AW72" i="8"/>
  <c r="AX72" i="8" s="1"/>
  <c r="AY72" i="8" s="1"/>
  <c r="BA72" i="8" s="1"/>
  <c r="AU73" i="8"/>
  <c r="AV73" i="8" s="1"/>
  <c r="AZ74" i="8"/>
  <c r="AO75" i="8"/>
  <c r="AP74" i="8"/>
  <c r="AR74" i="8"/>
  <c r="AV70" i="2"/>
  <c r="AW70" i="2"/>
  <c r="AZ71" i="2"/>
  <c r="AP71" i="2"/>
  <c r="AO72" i="2"/>
  <c r="AQ72" i="2" s="1"/>
  <c r="AR71" i="2"/>
  <c r="AU71" i="2" s="1"/>
  <c r="AX93" i="9" l="1"/>
  <c r="AY93" i="9" s="1"/>
  <c r="BA93" i="9" s="1"/>
  <c r="AV94" i="9"/>
  <c r="AW94" i="9"/>
  <c r="AQ95" i="9"/>
  <c r="AZ95" i="9"/>
  <c r="AO96" i="9"/>
  <c r="AP95" i="9"/>
  <c r="AR95" i="9"/>
  <c r="AU95" i="9" s="1"/>
  <c r="AU71" i="3"/>
  <c r="AV71" i="3" s="1"/>
  <c r="AX69" i="3"/>
  <c r="AY69" i="3" s="1"/>
  <c r="BA69" i="3" s="1"/>
  <c r="AW70" i="3"/>
  <c r="AX70" i="3" s="1"/>
  <c r="AY70" i="3" s="1"/>
  <c r="BA70" i="3" s="1"/>
  <c r="AX70" i="2"/>
  <c r="AY70" i="2" s="1"/>
  <c r="BA70" i="2" s="1"/>
  <c r="AZ72" i="3"/>
  <c r="AP72" i="3"/>
  <c r="AR72" i="3"/>
  <c r="AQ72" i="3"/>
  <c r="AO73" i="3"/>
  <c r="AW73" i="8"/>
  <c r="AX73" i="8" s="1"/>
  <c r="AY73" i="8" s="1"/>
  <c r="BA73" i="8" s="1"/>
  <c r="AU74" i="8"/>
  <c r="AV74" i="8" s="1"/>
  <c r="AZ75" i="8"/>
  <c r="AO76" i="8"/>
  <c r="AP75" i="8"/>
  <c r="AR75" i="8"/>
  <c r="AU75" i="8" s="1"/>
  <c r="AV71" i="2"/>
  <c r="AW71" i="2"/>
  <c r="AR72" i="2"/>
  <c r="AU72" i="2" s="1"/>
  <c r="AZ72" i="2"/>
  <c r="AO73" i="2"/>
  <c r="AQ73" i="2" s="1"/>
  <c r="AP72" i="2"/>
  <c r="AX94" i="9" l="1"/>
  <c r="AY94" i="9" s="1"/>
  <c r="BA94" i="9" s="1"/>
  <c r="AV95" i="9"/>
  <c r="AW95" i="9"/>
  <c r="AQ96" i="9"/>
  <c r="AO97" i="9"/>
  <c r="AZ96" i="9"/>
  <c r="AP96" i="9"/>
  <c r="AR96" i="9"/>
  <c r="AU96" i="9" s="1"/>
  <c r="AW71" i="3"/>
  <c r="AX71" i="3" s="1"/>
  <c r="AY71" i="3" s="1"/>
  <c r="BA71" i="3" s="1"/>
  <c r="AX71" i="2"/>
  <c r="AY71" i="2" s="1"/>
  <c r="BA71" i="2" s="1"/>
  <c r="AZ73" i="3"/>
  <c r="AR73" i="3"/>
  <c r="AP73" i="3"/>
  <c r="AQ73" i="3"/>
  <c r="AO74" i="3"/>
  <c r="AU72" i="3"/>
  <c r="AW74" i="8"/>
  <c r="AX74" i="8" s="1"/>
  <c r="AY74" i="8" s="1"/>
  <c r="BA74" i="8" s="1"/>
  <c r="AZ76" i="8"/>
  <c r="AO77" i="8"/>
  <c r="AP76" i="8"/>
  <c r="AR76" i="8"/>
  <c r="AV75" i="8"/>
  <c r="AW75" i="8"/>
  <c r="AR73" i="2"/>
  <c r="AU73" i="2" s="1"/>
  <c r="AO74" i="2"/>
  <c r="AQ74" i="2" s="1"/>
  <c r="AP73" i="2"/>
  <c r="AZ73" i="2"/>
  <c r="AV72" i="2"/>
  <c r="AW72" i="2"/>
  <c r="AX95" i="9" l="1"/>
  <c r="AY95" i="9" s="1"/>
  <c r="BA95" i="9" s="1"/>
  <c r="AV96" i="9"/>
  <c r="AW96" i="9"/>
  <c r="AO98" i="9"/>
  <c r="AQ97" i="9"/>
  <c r="AZ97" i="9"/>
  <c r="AP97" i="9"/>
  <c r="AR97" i="9"/>
  <c r="AU97" i="9" s="1"/>
  <c r="AX72" i="2"/>
  <c r="AY72" i="2" s="1"/>
  <c r="BA72" i="2" s="1"/>
  <c r="AU73" i="3"/>
  <c r="AW73" i="3" s="1"/>
  <c r="AV72" i="3"/>
  <c r="AW72" i="3"/>
  <c r="AX75" i="8"/>
  <c r="AY75" i="8" s="1"/>
  <c r="BA75" i="8" s="1"/>
  <c r="AZ74" i="3"/>
  <c r="AR74" i="3"/>
  <c r="AP74" i="3"/>
  <c r="AQ74" i="3"/>
  <c r="AO75" i="3"/>
  <c r="AU76" i="8"/>
  <c r="AV76" i="8" s="1"/>
  <c r="AZ77" i="8"/>
  <c r="AO78" i="8"/>
  <c r="AP77" i="8"/>
  <c r="AR77" i="8"/>
  <c r="AR74" i="2"/>
  <c r="AU74" i="2" s="1"/>
  <c r="AO75" i="2"/>
  <c r="AQ75" i="2" s="1"/>
  <c r="AP74" i="2"/>
  <c r="AZ74" i="2"/>
  <c r="AV73" i="2"/>
  <c r="AW73" i="2"/>
  <c r="AX96" i="9" l="1"/>
  <c r="AY96" i="9" s="1"/>
  <c r="BA96" i="9" s="1"/>
  <c r="AW97" i="9"/>
  <c r="AV97" i="9"/>
  <c r="AX97" i="9" s="1"/>
  <c r="AY97" i="9" s="1"/>
  <c r="BA97" i="9" s="1"/>
  <c r="AO99" i="9"/>
  <c r="AZ98" i="9"/>
  <c r="AQ98" i="9"/>
  <c r="AP98" i="9"/>
  <c r="AR98" i="9"/>
  <c r="AU98" i="9" s="1"/>
  <c r="AV73" i="3"/>
  <c r="AX73" i="3" s="1"/>
  <c r="AY73" i="3" s="1"/>
  <c r="BA73" i="3" s="1"/>
  <c r="AX72" i="3"/>
  <c r="AY72" i="3" s="1"/>
  <c r="BA72" i="3" s="1"/>
  <c r="AU74" i="3"/>
  <c r="AV74" i="3" s="1"/>
  <c r="AZ75" i="3"/>
  <c r="AP75" i="3"/>
  <c r="AR75" i="3"/>
  <c r="AQ75" i="3"/>
  <c r="AO76" i="3"/>
  <c r="AW76" i="8"/>
  <c r="AX76" i="8" s="1"/>
  <c r="AY76" i="8" s="1"/>
  <c r="BA76" i="8" s="1"/>
  <c r="AU77" i="8"/>
  <c r="AV77" i="8" s="1"/>
  <c r="AZ78" i="8"/>
  <c r="AO79" i="8"/>
  <c r="AP78" i="8"/>
  <c r="AR78" i="8"/>
  <c r="AX73" i="2"/>
  <c r="AY73" i="2" s="1"/>
  <c r="BA73" i="2" s="1"/>
  <c r="AR75" i="2"/>
  <c r="AP75" i="2"/>
  <c r="AZ75" i="2"/>
  <c r="AO76" i="2"/>
  <c r="AQ76" i="2" s="1"/>
  <c r="AV74" i="2"/>
  <c r="AW74" i="2"/>
  <c r="AV98" i="9" l="1"/>
  <c r="AX98" i="9" s="1"/>
  <c r="AY98" i="9" s="1"/>
  <c r="BA98" i="9" s="1"/>
  <c r="AW98" i="9"/>
  <c r="AO100" i="9"/>
  <c r="AQ99" i="9"/>
  <c r="AZ99" i="9"/>
  <c r="AP99" i="9"/>
  <c r="AR99" i="9"/>
  <c r="AU99" i="9" s="1"/>
  <c r="AU75" i="3"/>
  <c r="AW75" i="3" s="1"/>
  <c r="AW74" i="3"/>
  <c r="AX74" i="3" s="1"/>
  <c r="AY74" i="3" s="1"/>
  <c r="BA74" i="3" s="1"/>
  <c r="AX74" i="2"/>
  <c r="AY74" i="2" s="1"/>
  <c r="BA74" i="2" s="1"/>
  <c r="AZ76" i="3"/>
  <c r="AP76" i="3"/>
  <c r="AR76" i="3"/>
  <c r="AQ76" i="3"/>
  <c r="AO77" i="3"/>
  <c r="AW77" i="8"/>
  <c r="AX77" i="8" s="1"/>
  <c r="AY77" i="8" s="1"/>
  <c r="BA77" i="8" s="1"/>
  <c r="AU78" i="8"/>
  <c r="AV78" i="8" s="1"/>
  <c r="AZ79" i="8"/>
  <c r="AO80" i="8"/>
  <c r="AP79" i="8"/>
  <c r="AR79" i="8"/>
  <c r="AR76" i="2"/>
  <c r="AP76" i="2"/>
  <c r="AO77" i="2"/>
  <c r="AQ77" i="2" s="1"/>
  <c r="AZ76" i="2"/>
  <c r="AU75" i="2"/>
  <c r="AV99" i="9" l="1"/>
  <c r="AX99" i="9" s="1"/>
  <c r="AY99" i="9" s="1"/>
  <c r="BA99" i="9" s="1"/>
  <c r="AW99" i="9"/>
  <c r="AZ100" i="9"/>
  <c r="AQ100" i="9"/>
  <c r="AO101" i="9"/>
  <c r="AP100" i="9"/>
  <c r="AR100" i="9"/>
  <c r="AU100" i="9" s="1"/>
  <c r="AV75" i="3"/>
  <c r="AX75" i="3" s="1"/>
  <c r="AY75" i="3" s="1"/>
  <c r="BA75" i="3" s="1"/>
  <c r="AZ77" i="3"/>
  <c r="AP77" i="3"/>
  <c r="AR77" i="3"/>
  <c r="AQ77" i="3"/>
  <c r="AO78" i="3"/>
  <c r="AU76" i="3"/>
  <c r="AW78" i="8"/>
  <c r="AX78" i="8" s="1"/>
  <c r="AY78" i="8" s="1"/>
  <c r="BA78" i="8" s="1"/>
  <c r="AU79" i="8"/>
  <c r="AV79" i="8" s="1"/>
  <c r="AZ80" i="8"/>
  <c r="AO81" i="8"/>
  <c r="AP80" i="8"/>
  <c r="AR80" i="8"/>
  <c r="AV75" i="2"/>
  <c r="AW75" i="2"/>
  <c r="AR77" i="2"/>
  <c r="AP77" i="2"/>
  <c r="AZ77" i="2"/>
  <c r="AO78" i="2"/>
  <c r="AQ78" i="2" s="1"/>
  <c r="AU76" i="2"/>
  <c r="AV100" i="9" l="1"/>
  <c r="AW100" i="9"/>
  <c r="AO102" i="9"/>
  <c r="AZ101" i="9"/>
  <c r="AQ101" i="9"/>
  <c r="AP101" i="9"/>
  <c r="AR101" i="9"/>
  <c r="AU101" i="9" s="1"/>
  <c r="AU77" i="3"/>
  <c r="AW77" i="3" s="1"/>
  <c r="AV76" i="3"/>
  <c r="AW76" i="3"/>
  <c r="AZ78" i="3"/>
  <c r="AR78" i="3"/>
  <c r="AP78" i="3"/>
  <c r="AQ78" i="3"/>
  <c r="AO79" i="3"/>
  <c r="AW79" i="8"/>
  <c r="AX79" i="8" s="1"/>
  <c r="AY79" i="8" s="1"/>
  <c r="BA79" i="8" s="1"/>
  <c r="AU80" i="8"/>
  <c r="AV80" i="8" s="1"/>
  <c r="AZ81" i="8"/>
  <c r="AO82" i="8"/>
  <c r="AP81" i="8"/>
  <c r="AR81" i="8"/>
  <c r="AX75" i="2"/>
  <c r="AY75" i="2" s="1"/>
  <c r="BA75" i="2" s="1"/>
  <c r="AV76" i="2"/>
  <c r="AW76" i="2"/>
  <c r="AR78" i="2"/>
  <c r="AP78" i="2"/>
  <c r="AO79" i="2"/>
  <c r="AQ79" i="2" s="1"/>
  <c r="AZ78" i="2"/>
  <c r="AU77" i="2"/>
  <c r="AV101" i="9" l="1"/>
  <c r="AX101" i="9" s="1"/>
  <c r="AY101" i="9" s="1"/>
  <c r="BA101" i="9" s="1"/>
  <c r="AW101" i="9"/>
  <c r="AZ102" i="9"/>
  <c r="AQ102" i="9"/>
  <c r="AO103" i="9"/>
  <c r="AP102" i="9"/>
  <c r="AR102" i="9"/>
  <c r="AU102" i="9" s="1"/>
  <c r="AX100" i="9"/>
  <c r="AY100" i="9" s="1"/>
  <c r="BA100" i="9" s="1"/>
  <c r="AV77" i="3"/>
  <c r="AX77" i="3" s="1"/>
  <c r="AY77" i="3" s="1"/>
  <c r="BA77" i="3" s="1"/>
  <c r="AX76" i="2"/>
  <c r="AY76" i="2" s="1"/>
  <c r="BA76" i="2" s="1"/>
  <c r="AX76" i="3"/>
  <c r="AY76" i="3" s="1"/>
  <c r="BA76" i="3" s="1"/>
  <c r="AU78" i="3"/>
  <c r="AW78" i="3" s="1"/>
  <c r="AZ79" i="3"/>
  <c r="AP79" i="3"/>
  <c r="AR79" i="3"/>
  <c r="AQ79" i="3"/>
  <c r="AO80" i="3"/>
  <c r="AW80" i="8"/>
  <c r="AX80" i="8" s="1"/>
  <c r="AY80" i="8" s="1"/>
  <c r="BA80" i="8" s="1"/>
  <c r="AU81" i="8"/>
  <c r="AV81" i="8" s="1"/>
  <c r="AZ82" i="8"/>
  <c r="AO83" i="8"/>
  <c r="AP82" i="8"/>
  <c r="AR82" i="8"/>
  <c r="AV77" i="2"/>
  <c r="AW77" i="2"/>
  <c r="AR79" i="2"/>
  <c r="AP79" i="2"/>
  <c r="AZ79" i="2"/>
  <c r="AO80" i="2"/>
  <c r="AQ80" i="2" s="1"/>
  <c r="AU78" i="2"/>
  <c r="AV102" i="9" l="1"/>
  <c r="AX102" i="9" s="1"/>
  <c r="AY102" i="9" s="1"/>
  <c r="BA102" i="9" s="1"/>
  <c r="AW102" i="9"/>
  <c r="AZ103" i="9"/>
  <c r="AQ103" i="9"/>
  <c r="AO104" i="9"/>
  <c r="AP103" i="9"/>
  <c r="AR103" i="9"/>
  <c r="AU103" i="9" s="1"/>
  <c r="AX77" i="2"/>
  <c r="AY77" i="2" s="1"/>
  <c r="BA77" i="2" s="1"/>
  <c r="AV78" i="3"/>
  <c r="AX78" i="3" s="1"/>
  <c r="AY78" i="3" s="1"/>
  <c r="BA78" i="3" s="1"/>
  <c r="AZ80" i="3"/>
  <c r="AP80" i="3"/>
  <c r="AR80" i="3"/>
  <c r="AQ80" i="3"/>
  <c r="AO81" i="3"/>
  <c r="AU79" i="3"/>
  <c r="AW81" i="8"/>
  <c r="AX81" i="8" s="1"/>
  <c r="AY81" i="8" s="1"/>
  <c r="BA81" i="8" s="1"/>
  <c r="AU82" i="8"/>
  <c r="AV82" i="8" s="1"/>
  <c r="AZ83" i="8"/>
  <c r="AO84" i="8"/>
  <c r="AP83" i="8"/>
  <c r="AR83" i="8"/>
  <c r="AV78" i="2"/>
  <c r="AW78" i="2"/>
  <c r="AR80" i="2"/>
  <c r="AP80" i="2"/>
  <c r="AO81" i="2"/>
  <c r="AQ81" i="2" s="1"/>
  <c r="AZ80" i="2"/>
  <c r="AU79" i="2"/>
  <c r="AV103" i="9" l="1"/>
  <c r="AX103" i="9" s="1"/>
  <c r="AY103" i="9" s="1"/>
  <c r="BA103" i="9" s="1"/>
  <c r="AW103" i="9"/>
  <c r="AZ104" i="9"/>
  <c r="AQ104" i="9"/>
  <c r="AO105" i="9"/>
  <c r="AP104" i="9"/>
  <c r="AR104" i="9"/>
  <c r="AU104" i="9" s="1"/>
  <c r="AU80" i="3"/>
  <c r="AW80" i="3" s="1"/>
  <c r="AX78" i="2"/>
  <c r="AY78" i="2" s="1"/>
  <c r="BA78" i="2" s="1"/>
  <c r="AW79" i="3"/>
  <c r="AV79" i="3"/>
  <c r="AZ81" i="3"/>
  <c r="AP81" i="3"/>
  <c r="AR81" i="3"/>
  <c r="AQ81" i="3"/>
  <c r="AO82" i="3"/>
  <c r="AW82" i="8"/>
  <c r="AX82" i="8" s="1"/>
  <c r="AY82" i="8" s="1"/>
  <c r="BA82" i="8" s="1"/>
  <c r="AU83" i="8"/>
  <c r="AV83" i="8" s="1"/>
  <c r="AZ84" i="8"/>
  <c r="AO85" i="8"/>
  <c r="AP84" i="8"/>
  <c r="AR84" i="8"/>
  <c r="AV79" i="2"/>
  <c r="AW79" i="2"/>
  <c r="AR81" i="2"/>
  <c r="AP81" i="2"/>
  <c r="AZ81" i="2"/>
  <c r="AO82" i="2"/>
  <c r="AQ82" i="2" s="1"/>
  <c r="AU80" i="2"/>
  <c r="AV104" i="9" l="1"/>
  <c r="AX104" i="9" s="1"/>
  <c r="AY104" i="9" s="1"/>
  <c r="BA104" i="9" s="1"/>
  <c r="AW104" i="9"/>
  <c r="AO106" i="9"/>
  <c r="AZ105" i="9"/>
  <c r="AQ105" i="9"/>
  <c r="AP105" i="9"/>
  <c r="AR105" i="9"/>
  <c r="AU105" i="9" s="1"/>
  <c r="AV80" i="3"/>
  <c r="AX80" i="3" s="1"/>
  <c r="AY80" i="3" s="1"/>
  <c r="BA80" i="3" s="1"/>
  <c r="AU81" i="3"/>
  <c r="AW81" i="3" s="1"/>
  <c r="AX79" i="3"/>
  <c r="AY79" i="3" s="1"/>
  <c r="BA79" i="3" s="1"/>
  <c r="AX79" i="2"/>
  <c r="AY79" i="2" s="1"/>
  <c r="BA79" i="2" s="1"/>
  <c r="AZ82" i="3"/>
  <c r="AP82" i="3"/>
  <c r="AR82" i="3"/>
  <c r="AQ82" i="3"/>
  <c r="AO83" i="3"/>
  <c r="AU84" i="8"/>
  <c r="AV84" i="8" s="1"/>
  <c r="AW83" i="8"/>
  <c r="AX83" i="8" s="1"/>
  <c r="AY83" i="8" s="1"/>
  <c r="BA83" i="8" s="1"/>
  <c r="AZ85" i="8"/>
  <c r="AO86" i="8"/>
  <c r="AP85" i="8"/>
  <c r="AR85" i="8"/>
  <c r="AV80" i="2"/>
  <c r="AW80" i="2"/>
  <c r="AR82" i="2"/>
  <c r="AP82" i="2"/>
  <c r="AO83" i="2"/>
  <c r="AQ83" i="2" s="1"/>
  <c r="AZ82" i="2"/>
  <c r="AU81" i="2"/>
  <c r="AV105" i="9" l="1"/>
  <c r="AX105" i="9" s="1"/>
  <c r="AY105" i="9" s="1"/>
  <c r="BA105" i="9" s="1"/>
  <c r="AW105" i="9"/>
  <c r="AZ106" i="9"/>
  <c r="AQ106" i="9"/>
  <c r="AO107" i="9"/>
  <c r="AP106" i="9"/>
  <c r="AR106" i="9"/>
  <c r="AU106" i="9" s="1"/>
  <c r="AV81" i="3"/>
  <c r="AX81" i="3" s="1"/>
  <c r="AY81" i="3" s="1"/>
  <c r="BA81" i="3" s="1"/>
  <c r="AX80" i="2"/>
  <c r="AY80" i="2" s="1"/>
  <c r="BA80" i="2" s="1"/>
  <c r="AZ83" i="3"/>
  <c r="AP83" i="3"/>
  <c r="AR83" i="3"/>
  <c r="AQ83" i="3"/>
  <c r="AO84" i="3"/>
  <c r="AU82" i="3"/>
  <c r="AW84" i="8"/>
  <c r="AX84" i="8" s="1"/>
  <c r="AY84" i="8" s="1"/>
  <c r="BA84" i="8" s="1"/>
  <c r="AU85" i="8"/>
  <c r="AV85" i="8" s="1"/>
  <c r="AZ86" i="8"/>
  <c r="AO87" i="8"/>
  <c r="AP86" i="8"/>
  <c r="AR86" i="8"/>
  <c r="AV81" i="2"/>
  <c r="AW81" i="2"/>
  <c r="AR83" i="2"/>
  <c r="AP83" i="2"/>
  <c r="AZ83" i="2"/>
  <c r="AO84" i="2"/>
  <c r="AQ84" i="2" s="1"/>
  <c r="AU82" i="2"/>
  <c r="AV106" i="9" l="1"/>
  <c r="AW106" i="9"/>
  <c r="AZ107" i="9"/>
  <c r="AQ107" i="9"/>
  <c r="AO108" i="9"/>
  <c r="AP107" i="9"/>
  <c r="AR107" i="9"/>
  <c r="AU107" i="9" s="1"/>
  <c r="AX81" i="2"/>
  <c r="AY81" i="2" s="1"/>
  <c r="BA81" i="2" s="1"/>
  <c r="AU83" i="3"/>
  <c r="AV83" i="3" s="1"/>
  <c r="AV82" i="3"/>
  <c r="AW82" i="3"/>
  <c r="AZ84" i="3"/>
  <c r="AR84" i="3"/>
  <c r="AP84" i="3"/>
  <c r="AQ84" i="3"/>
  <c r="AO85" i="3"/>
  <c r="AW85" i="8"/>
  <c r="AX85" i="8" s="1"/>
  <c r="AY85" i="8" s="1"/>
  <c r="BA85" i="8" s="1"/>
  <c r="AU86" i="8"/>
  <c r="AV86" i="8" s="1"/>
  <c r="AO88" i="8"/>
  <c r="AZ87" i="8"/>
  <c r="AP87" i="8"/>
  <c r="AR87" i="8"/>
  <c r="AV82" i="2"/>
  <c r="AW82" i="2"/>
  <c r="AR84" i="2"/>
  <c r="AP84" i="2"/>
  <c r="AO85" i="2"/>
  <c r="AQ85" i="2" s="1"/>
  <c r="AZ84" i="2"/>
  <c r="AU83" i="2"/>
  <c r="AX106" i="9" l="1"/>
  <c r="AY106" i="9" s="1"/>
  <c r="BA106" i="9" s="1"/>
  <c r="AV107" i="9"/>
  <c r="AW107" i="9"/>
  <c r="AO109" i="9"/>
  <c r="AQ108" i="9"/>
  <c r="AZ108" i="9"/>
  <c r="AP108" i="9"/>
  <c r="AR108" i="9"/>
  <c r="AU108" i="9" s="1"/>
  <c r="AW83" i="3"/>
  <c r="AX83" i="3" s="1"/>
  <c r="AY83" i="3" s="1"/>
  <c r="BA83" i="3" s="1"/>
  <c r="AU84" i="3"/>
  <c r="AW84" i="3" s="1"/>
  <c r="AX82" i="3"/>
  <c r="AY82" i="3" s="1"/>
  <c r="BA82" i="3" s="1"/>
  <c r="AZ85" i="3"/>
  <c r="AP85" i="3"/>
  <c r="AR85" i="3"/>
  <c r="AQ85" i="3"/>
  <c r="AO86" i="3"/>
  <c r="AW86" i="8"/>
  <c r="AX86" i="8" s="1"/>
  <c r="AY86" i="8" s="1"/>
  <c r="BA86" i="8" s="1"/>
  <c r="AU87" i="8"/>
  <c r="AV87" i="8" s="1"/>
  <c r="AO89" i="8"/>
  <c r="AZ88" i="8"/>
  <c r="AP88" i="8"/>
  <c r="AR88" i="8"/>
  <c r="AX82" i="2"/>
  <c r="AY82" i="2" s="1"/>
  <c r="BA82" i="2" s="1"/>
  <c r="AV83" i="2"/>
  <c r="AW83" i="2"/>
  <c r="AR85" i="2"/>
  <c r="AP85" i="2"/>
  <c r="AZ85" i="2"/>
  <c r="AO86" i="2"/>
  <c r="AQ86" i="2" s="1"/>
  <c r="AU84" i="2"/>
  <c r="AX107" i="9" l="1"/>
  <c r="AY107" i="9" s="1"/>
  <c r="BA107" i="9" s="1"/>
  <c r="AV108" i="9"/>
  <c r="AW108" i="9"/>
  <c r="AZ109" i="9"/>
  <c r="AQ109" i="9"/>
  <c r="AO110" i="9"/>
  <c r="AP109" i="9"/>
  <c r="AR109" i="9"/>
  <c r="AU109" i="9" s="1"/>
  <c r="AV84" i="3"/>
  <c r="AX84" i="3" s="1"/>
  <c r="AY84" i="3" s="1"/>
  <c r="BA84" i="3" s="1"/>
  <c r="AU85" i="3"/>
  <c r="AW85" i="3" s="1"/>
  <c r="AZ86" i="3"/>
  <c r="AR86" i="3"/>
  <c r="AP86" i="3"/>
  <c r="AQ86" i="3"/>
  <c r="AO87" i="3"/>
  <c r="AW87" i="8"/>
  <c r="AX87" i="8" s="1"/>
  <c r="AY87" i="8" s="1"/>
  <c r="BA87" i="8" s="1"/>
  <c r="AU88" i="8"/>
  <c r="AO90" i="8"/>
  <c r="AZ89" i="8"/>
  <c r="AP89" i="8"/>
  <c r="AR89" i="8"/>
  <c r="AX83" i="2"/>
  <c r="AY83" i="2" s="1"/>
  <c r="BA83" i="2" s="1"/>
  <c r="AV84" i="2"/>
  <c r="AW84" i="2"/>
  <c r="AR86" i="2"/>
  <c r="AP86" i="2"/>
  <c r="AO87" i="2"/>
  <c r="AQ87" i="2" s="1"/>
  <c r="AZ86" i="2"/>
  <c r="AU85" i="2"/>
  <c r="AX108" i="9" l="1"/>
  <c r="AY108" i="9" s="1"/>
  <c r="BA108" i="9" s="1"/>
  <c r="AV109" i="9"/>
  <c r="AW109" i="9"/>
  <c r="AQ110" i="9"/>
  <c r="AO111" i="9"/>
  <c r="AZ110" i="9"/>
  <c r="AP110" i="9"/>
  <c r="AR110" i="9"/>
  <c r="AU110" i="9" s="1"/>
  <c r="AU86" i="3"/>
  <c r="AV86" i="3" s="1"/>
  <c r="AV85" i="3"/>
  <c r="AX85" i="3" s="1"/>
  <c r="AY85" i="3" s="1"/>
  <c r="BA85" i="3" s="1"/>
  <c r="AZ87" i="3"/>
  <c r="AP87" i="3"/>
  <c r="AR87" i="3"/>
  <c r="AQ87" i="3"/>
  <c r="AO88" i="3"/>
  <c r="AU89" i="8"/>
  <c r="AW89" i="8" s="1"/>
  <c r="AZ90" i="8"/>
  <c r="AO91" i="8"/>
  <c r="AP90" i="8"/>
  <c r="AR90" i="8"/>
  <c r="AW88" i="8"/>
  <c r="AV88" i="8"/>
  <c r="AX84" i="2"/>
  <c r="AY84" i="2" s="1"/>
  <c r="BA84" i="2" s="1"/>
  <c r="AV85" i="2"/>
  <c r="AW85" i="2"/>
  <c r="AR87" i="2"/>
  <c r="AP87" i="2"/>
  <c r="AO88" i="2"/>
  <c r="AQ88" i="2" s="1"/>
  <c r="AZ87" i="2"/>
  <c r="AU86" i="2"/>
  <c r="AX109" i="9" l="1"/>
  <c r="AY109" i="9" s="1"/>
  <c r="BA109" i="9" s="1"/>
  <c r="AV110" i="9"/>
  <c r="AW110" i="9"/>
  <c r="AZ111" i="9"/>
  <c r="AQ111" i="9"/>
  <c r="AO112" i="9"/>
  <c r="AP111" i="9"/>
  <c r="AR111" i="9"/>
  <c r="AU111" i="9" s="1"/>
  <c r="AW86" i="3"/>
  <c r="AX86" i="3" s="1"/>
  <c r="AY86" i="3" s="1"/>
  <c r="BA86" i="3" s="1"/>
  <c r="AU87" i="3"/>
  <c r="AW87" i="3" s="1"/>
  <c r="AZ88" i="3"/>
  <c r="AP88" i="3"/>
  <c r="AR88" i="3"/>
  <c r="AQ88" i="3"/>
  <c r="AO89" i="3"/>
  <c r="AX88" i="8"/>
  <c r="AY88" i="8" s="1"/>
  <c r="BA88" i="8" s="1"/>
  <c r="AU90" i="8"/>
  <c r="AW90" i="8" s="1"/>
  <c r="AV89" i="8"/>
  <c r="AX89" i="8" s="1"/>
  <c r="AY89" i="8" s="1"/>
  <c r="BA89" i="8" s="1"/>
  <c r="AZ91" i="8"/>
  <c r="AO92" i="8"/>
  <c r="AP91" i="8"/>
  <c r="AR91" i="8"/>
  <c r="AX85" i="2"/>
  <c r="AY85" i="2" s="1"/>
  <c r="BA85" i="2" s="1"/>
  <c r="AV86" i="2"/>
  <c r="AW86" i="2"/>
  <c r="AR88" i="2"/>
  <c r="AP88" i="2"/>
  <c r="AO89" i="2"/>
  <c r="AQ89" i="2" s="1"/>
  <c r="AZ88" i="2"/>
  <c r="AU87" i="2"/>
  <c r="AX110" i="9" l="1"/>
  <c r="AY110" i="9" s="1"/>
  <c r="BA110" i="9" s="1"/>
  <c r="AV111" i="9"/>
  <c r="AW111" i="9"/>
  <c r="AO113" i="9"/>
  <c r="AZ112" i="9"/>
  <c r="AQ112" i="9"/>
  <c r="AP112" i="9"/>
  <c r="AR112" i="9"/>
  <c r="AU112" i="9" s="1"/>
  <c r="AU88" i="3"/>
  <c r="AV88" i="3" s="1"/>
  <c r="AV87" i="3"/>
  <c r="AX87" i="3" s="1"/>
  <c r="AY87" i="3" s="1"/>
  <c r="BA87" i="3" s="1"/>
  <c r="AZ89" i="3"/>
  <c r="AR89" i="3"/>
  <c r="AP89" i="3"/>
  <c r="AQ89" i="3"/>
  <c r="AO90" i="3"/>
  <c r="AU91" i="8"/>
  <c r="AW91" i="8" s="1"/>
  <c r="AV90" i="8"/>
  <c r="AX90" i="8" s="1"/>
  <c r="AY90" i="8" s="1"/>
  <c r="BA90" i="8" s="1"/>
  <c r="AZ92" i="8"/>
  <c r="AO93" i="8"/>
  <c r="AP92" i="8"/>
  <c r="AR92" i="8"/>
  <c r="AX86" i="2"/>
  <c r="AY86" i="2" s="1"/>
  <c r="BA86" i="2" s="1"/>
  <c r="AV87" i="2"/>
  <c r="AW87" i="2"/>
  <c r="AO90" i="2"/>
  <c r="AQ90" i="2" s="1"/>
  <c r="AR89" i="2"/>
  <c r="AU89" i="2" s="1"/>
  <c r="AP89" i="2"/>
  <c r="AZ89" i="2"/>
  <c r="AU88" i="2"/>
  <c r="AX111" i="9" l="1"/>
  <c r="AY111" i="9" s="1"/>
  <c r="BA111" i="9" s="1"/>
  <c r="AV112" i="9"/>
  <c r="AW112" i="9"/>
  <c r="AQ113" i="9"/>
  <c r="AO114" i="9"/>
  <c r="AZ113" i="9"/>
  <c r="AP113" i="9"/>
  <c r="AR113" i="9"/>
  <c r="AU113" i="9" s="1"/>
  <c r="AW88" i="3"/>
  <c r="AX88" i="3" s="1"/>
  <c r="AY88" i="3" s="1"/>
  <c r="BA88" i="3" s="1"/>
  <c r="AU89" i="3"/>
  <c r="AW89" i="3" s="1"/>
  <c r="AZ90" i="3"/>
  <c r="AP90" i="3"/>
  <c r="AR90" i="3"/>
  <c r="AQ90" i="3"/>
  <c r="AU90" i="3" s="1"/>
  <c r="AO91" i="3"/>
  <c r="AV91" i="8"/>
  <c r="AX91" i="8" s="1"/>
  <c r="AY91" i="8" s="1"/>
  <c r="BA91" i="8" s="1"/>
  <c r="AU92" i="8"/>
  <c r="AV92" i="8" s="1"/>
  <c r="AZ93" i="8"/>
  <c r="AO94" i="8"/>
  <c r="AP93" i="8"/>
  <c r="AR93" i="8"/>
  <c r="AX87" i="2"/>
  <c r="AY87" i="2" s="1"/>
  <c r="BA87" i="2" s="1"/>
  <c r="AV89" i="2"/>
  <c r="AW89" i="2"/>
  <c r="AV88" i="2"/>
  <c r="AW88" i="2"/>
  <c r="AO91" i="2"/>
  <c r="AQ91" i="2" s="1"/>
  <c r="AR90" i="2"/>
  <c r="AU90" i="2" s="1"/>
  <c r="AP90" i="2"/>
  <c r="AZ90" i="2"/>
  <c r="AX112" i="9" l="1"/>
  <c r="AY112" i="9" s="1"/>
  <c r="BA112" i="9" s="1"/>
  <c r="AV113" i="9"/>
  <c r="AW113" i="9"/>
  <c r="AO115" i="9"/>
  <c r="AQ114" i="9"/>
  <c r="AZ114" i="9"/>
  <c r="AP114" i="9"/>
  <c r="AR114" i="9"/>
  <c r="AU114" i="9" s="1"/>
  <c r="AV89" i="3"/>
  <c r="AX89" i="3" s="1"/>
  <c r="AY89" i="3" s="1"/>
  <c r="BA89" i="3" s="1"/>
  <c r="AV90" i="3"/>
  <c r="AW90" i="3"/>
  <c r="AZ91" i="3"/>
  <c r="AP91" i="3"/>
  <c r="AR91" i="3"/>
  <c r="AQ91" i="3"/>
  <c r="AO92" i="3"/>
  <c r="AW92" i="8"/>
  <c r="AX92" i="8" s="1"/>
  <c r="AY92" i="8" s="1"/>
  <c r="BA92" i="8" s="1"/>
  <c r="AZ94" i="8"/>
  <c r="AO95" i="8"/>
  <c r="AP94" i="8"/>
  <c r="AR94" i="8"/>
  <c r="AU93" i="8"/>
  <c r="AX88" i="2"/>
  <c r="AY88" i="2" s="1"/>
  <c r="BA88" i="2" s="1"/>
  <c r="AV90" i="2"/>
  <c r="AW90" i="2"/>
  <c r="AO92" i="2"/>
  <c r="AQ92" i="2" s="1"/>
  <c r="AR91" i="2"/>
  <c r="AU91" i="2" s="1"/>
  <c r="AP91" i="2"/>
  <c r="AZ91" i="2"/>
  <c r="AX89" i="2"/>
  <c r="AY89" i="2" s="1"/>
  <c r="BA89" i="2" s="1"/>
  <c r="AX113" i="9" l="1"/>
  <c r="AY113" i="9" s="1"/>
  <c r="BA113" i="9" s="1"/>
  <c r="AV114" i="9"/>
  <c r="AW114" i="9"/>
  <c r="AO116" i="9"/>
  <c r="AZ115" i="9"/>
  <c r="AQ115" i="9"/>
  <c r="AP115" i="9"/>
  <c r="AR115" i="9"/>
  <c r="AU115" i="9" s="1"/>
  <c r="AU91" i="3"/>
  <c r="AV91" i="3" s="1"/>
  <c r="AX90" i="3"/>
  <c r="AY90" i="3" s="1"/>
  <c r="BA90" i="3" s="1"/>
  <c r="AZ92" i="3"/>
  <c r="AR92" i="3"/>
  <c r="AP92" i="3"/>
  <c r="AQ92" i="3"/>
  <c r="AO93" i="3"/>
  <c r="AU94" i="8"/>
  <c r="AW94" i="8" s="1"/>
  <c r="AZ95" i="8"/>
  <c r="AO96" i="8"/>
  <c r="AP95" i="8"/>
  <c r="AR95" i="8"/>
  <c r="AV93" i="8"/>
  <c r="AW93" i="8"/>
  <c r="AV91" i="2"/>
  <c r="AW91" i="2"/>
  <c r="AO93" i="2"/>
  <c r="AQ93" i="2" s="1"/>
  <c r="AR92" i="2"/>
  <c r="AU92" i="2" s="1"/>
  <c r="AP92" i="2"/>
  <c r="AZ92" i="2"/>
  <c r="AX90" i="2"/>
  <c r="AY90" i="2" s="1"/>
  <c r="BA90" i="2" s="1"/>
  <c r="AX114" i="9" l="1"/>
  <c r="AY114" i="9" s="1"/>
  <c r="BA114" i="9" s="1"/>
  <c r="AV115" i="9"/>
  <c r="AW115" i="9"/>
  <c r="AO117" i="9"/>
  <c r="AQ116" i="9"/>
  <c r="AZ116" i="9"/>
  <c r="AP116" i="9"/>
  <c r="AR116" i="9"/>
  <c r="AU116" i="9" s="1"/>
  <c r="AU92" i="3"/>
  <c r="AW92" i="3" s="1"/>
  <c r="AW91" i="3"/>
  <c r="AX91" i="3" s="1"/>
  <c r="AY91" i="3" s="1"/>
  <c r="BA91" i="3" s="1"/>
  <c r="AX93" i="8"/>
  <c r="AY93" i="8" s="1"/>
  <c r="BA93" i="8" s="1"/>
  <c r="AZ93" i="3"/>
  <c r="AP93" i="3"/>
  <c r="AR93" i="3"/>
  <c r="AQ93" i="3"/>
  <c r="AO94" i="3"/>
  <c r="AV94" i="8"/>
  <c r="AX94" i="8" s="1"/>
  <c r="AY94" i="8" s="1"/>
  <c r="BA94" i="8" s="1"/>
  <c r="AU95" i="8"/>
  <c r="AV95" i="8" s="1"/>
  <c r="AZ96" i="8"/>
  <c r="AO97" i="8"/>
  <c r="AP96" i="8"/>
  <c r="AR96" i="8"/>
  <c r="AV92" i="2"/>
  <c r="AW92" i="2"/>
  <c r="AO94" i="2"/>
  <c r="AQ94" i="2" s="1"/>
  <c r="AR93" i="2"/>
  <c r="AU93" i="2" s="1"/>
  <c r="AP93" i="2"/>
  <c r="AZ93" i="2"/>
  <c r="AX91" i="2"/>
  <c r="AY91" i="2" s="1"/>
  <c r="BA91" i="2" s="1"/>
  <c r="AX115" i="9" l="1"/>
  <c r="AY115" i="9" s="1"/>
  <c r="BA115" i="9" s="1"/>
  <c r="AV116" i="9"/>
  <c r="AW116" i="9"/>
  <c r="AZ117" i="9"/>
  <c r="AQ117" i="9"/>
  <c r="AO118" i="9"/>
  <c r="AP117" i="9"/>
  <c r="AR117" i="9"/>
  <c r="AU117" i="9" s="1"/>
  <c r="AV92" i="3"/>
  <c r="AX92" i="3" s="1"/>
  <c r="AY92" i="3" s="1"/>
  <c r="BA92" i="3" s="1"/>
  <c r="AZ94" i="3"/>
  <c r="AR94" i="3"/>
  <c r="AP94" i="3"/>
  <c r="AQ94" i="3"/>
  <c r="AO95" i="3"/>
  <c r="AU93" i="3"/>
  <c r="AW95" i="8"/>
  <c r="AX95" i="8" s="1"/>
  <c r="AY95" i="8" s="1"/>
  <c r="BA95" i="8" s="1"/>
  <c r="AU96" i="8"/>
  <c r="AV96" i="8" s="1"/>
  <c r="AZ97" i="8"/>
  <c r="AO98" i="8"/>
  <c r="AP97" i="8"/>
  <c r="AR97" i="8"/>
  <c r="AX92" i="2"/>
  <c r="AY92" i="2" s="1"/>
  <c r="BA92" i="2" s="1"/>
  <c r="AV93" i="2"/>
  <c r="AW93" i="2"/>
  <c r="AO95" i="2"/>
  <c r="AQ95" i="2" s="1"/>
  <c r="AR94" i="2"/>
  <c r="AU94" i="2" s="1"/>
  <c r="AP94" i="2"/>
  <c r="AZ94" i="2"/>
  <c r="AX116" i="9" l="1"/>
  <c r="AY116" i="9" s="1"/>
  <c r="BA116" i="9" s="1"/>
  <c r="AV117" i="9"/>
  <c r="AW117" i="9"/>
  <c r="AO119" i="9"/>
  <c r="AZ118" i="9"/>
  <c r="AQ118" i="9"/>
  <c r="AP118" i="9"/>
  <c r="AR118" i="9"/>
  <c r="AU118" i="9" s="1"/>
  <c r="AU94" i="3"/>
  <c r="AW94" i="3" s="1"/>
  <c r="AW93" i="3"/>
  <c r="AV93" i="3"/>
  <c r="AZ95" i="3"/>
  <c r="AP95" i="3"/>
  <c r="AR95" i="3"/>
  <c r="AQ95" i="3"/>
  <c r="AO96" i="3"/>
  <c r="AW96" i="8"/>
  <c r="AX96" i="8" s="1"/>
  <c r="AY96" i="8" s="1"/>
  <c r="BA96" i="8" s="1"/>
  <c r="AU97" i="8"/>
  <c r="AV97" i="8" s="1"/>
  <c r="AO99" i="8"/>
  <c r="AZ98" i="8"/>
  <c r="AP98" i="8"/>
  <c r="AR98" i="8"/>
  <c r="AV94" i="2"/>
  <c r="AW94" i="2"/>
  <c r="AO96" i="2"/>
  <c r="AQ96" i="2" s="1"/>
  <c r="AR95" i="2"/>
  <c r="AU95" i="2" s="1"/>
  <c r="AP95" i="2"/>
  <c r="AZ95" i="2"/>
  <c r="AX93" i="2"/>
  <c r="AY93" i="2" s="1"/>
  <c r="BA93" i="2" s="1"/>
  <c r="AX117" i="9" l="1"/>
  <c r="AY117" i="9" s="1"/>
  <c r="BA117" i="9" s="1"/>
  <c r="AV118" i="9"/>
  <c r="AW118" i="9"/>
  <c r="AQ119" i="9"/>
  <c r="AO120" i="9"/>
  <c r="AZ119" i="9"/>
  <c r="AP119" i="9"/>
  <c r="AR119" i="9"/>
  <c r="AU119" i="9" s="1"/>
  <c r="AV94" i="3"/>
  <c r="AX94" i="3" s="1"/>
  <c r="AY94" i="3" s="1"/>
  <c r="BA94" i="3" s="1"/>
  <c r="AU95" i="3"/>
  <c r="AW95" i="3" s="1"/>
  <c r="AX93" i="3"/>
  <c r="AY93" i="3" s="1"/>
  <c r="BA93" i="3" s="1"/>
  <c r="AZ96" i="3"/>
  <c r="AP96" i="3"/>
  <c r="AR96" i="3"/>
  <c r="AQ96" i="3"/>
  <c r="AO97" i="3"/>
  <c r="AW97" i="8"/>
  <c r="AX97" i="8" s="1"/>
  <c r="AY97" i="8" s="1"/>
  <c r="BA97" i="8" s="1"/>
  <c r="AU98" i="8"/>
  <c r="AV98" i="8" s="1"/>
  <c r="AO100" i="8"/>
  <c r="AZ99" i="8"/>
  <c r="AP99" i="8"/>
  <c r="AR99" i="8"/>
  <c r="AU99" i="8" s="1"/>
  <c r="AV95" i="2"/>
  <c r="AW95" i="2"/>
  <c r="AO97" i="2"/>
  <c r="AQ97" i="2" s="1"/>
  <c r="AR96" i="2"/>
  <c r="AU96" i="2" s="1"/>
  <c r="AP96" i="2"/>
  <c r="AZ96" i="2"/>
  <c r="AX94" i="2"/>
  <c r="AY94" i="2" s="1"/>
  <c r="BA94" i="2" s="1"/>
  <c r="AX118" i="9" l="1"/>
  <c r="AY118" i="9" s="1"/>
  <c r="BA118" i="9" s="1"/>
  <c r="AV119" i="9"/>
  <c r="AW119" i="9"/>
  <c r="AO121" i="9"/>
  <c r="AZ120" i="9"/>
  <c r="AQ120" i="9"/>
  <c r="AP120" i="9"/>
  <c r="AR120" i="9"/>
  <c r="AU120" i="9" s="1"/>
  <c r="AU96" i="3"/>
  <c r="AW96" i="3" s="1"/>
  <c r="AV95" i="3"/>
  <c r="AX95" i="3" s="1"/>
  <c r="AY95" i="3" s="1"/>
  <c r="BA95" i="3" s="1"/>
  <c r="AX95" i="2"/>
  <c r="AY95" i="2" s="1"/>
  <c r="BA95" i="2" s="1"/>
  <c r="AZ97" i="3"/>
  <c r="AP97" i="3"/>
  <c r="AR97" i="3"/>
  <c r="AQ97" i="3"/>
  <c r="AO98" i="3"/>
  <c r="AW98" i="8"/>
  <c r="AX98" i="8" s="1"/>
  <c r="AY98" i="8" s="1"/>
  <c r="BA98" i="8" s="1"/>
  <c r="AV99" i="8"/>
  <c r="AW99" i="8"/>
  <c r="AO101" i="8"/>
  <c r="AZ100" i="8"/>
  <c r="AP100" i="8"/>
  <c r="AR100" i="8"/>
  <c r="AV96" i="2"/>
  <c r="AW96" i="2"/>
  <c r="AO98" i="2"/>
  <c r="AQ98" i="2" s="1"/>
  <c r="AR97" i="2"/>
  <c r="AU97" i="2" s="1"/>
  <c r="AP97" i="2"/>
  <c r="AZ97" i="2"/>
  <c r="AX119" i="9" l="1"/>
  <c r="AY119" i="9" s="1"/>
  <c r="BA119" i="9" s="1"/>
  <c r="AV120" i="9"/>
  <c r="AW120" i="9"/>
  <c r="AO122" i="9"/>
  <c r="AZ121" i="9"/>
  <c r="AQ121" i="9"/>
  <c r="AP121" i="9"/>
  <c r="AR121" i="9"/>
  <c r="AU121" i="9" s="1"/>
  <c r="AV96" i="3"/>
  <c r="AX96" i="3" s="1"/>
  <c r="AY96" i="3" s="1"/>
  <c r="BA96" i="3" s="1"/>
  <c r="AU97" i="3"/>
  <c r="AV97" i="3" s="1"/>
  <c r="AX96" i="2"/>
  <c r="AY96" i="2" s="1"/>
  <c r="BA96" i="2" s="1"/>
  <c r="AX99" i="8"/>
  <c r="AY99" i="8" s="1"/>
  <c r="BA99" i="8" s="1"/>
  <c r="AZ98" i="3"/>
  <c r="AR98" i="3"/>
  <c r="AP98" i="3"/>
  <c r="AQ98" i="3"/>
  <c r="AO99" i="3"/>
  <c r="AU100" i="8"/>
  <c r="AO102" i="8"/>
  <c r="AZ101" i="8"/>
  <c r="AP101" i="8"/>
  <c r="AR101" i="8"/>
  <c r="AV97" i="2"/>
  <c r="AW97" i="2"/>
  <c r="AO99" i="2"/>
  <c r="AQ99" i="2" s="1"/>
  <c r="AR98" i="2"/>
  <c r="AU98" i="2" s="1"/>
  <c r="AP98" i="2"/>
  <c r="AZ98" i="2"/>
  <c r="AX120" i="9" l="1"/>
  <c r="AY120" i="9" s="1"/>
  <c r="BA120" i="9" s="1"/>
  <c r="AV121" i="9"/>
  <c r="AW121" i="9"/>
  <c r="AO123" i="9"/>
  <c r="AQ122" i="9"/>
  <c r="AZ122" i="9"/>
  <c r="AP122" i="9"/>
  <c r="AR122" i="9"/>
  <c r="AU122" i="9" s="1"/>
  <c r="AU98" i="3"/>
  <c r="AW98" i="3" s="1"/>
  <c r="AW97" i="3"/>
  <c r="AX97" i="3" s="1"/>
  <c r="AY97" i="3" s="1"/>
  <c r="BA97" i="3" s="1"/>
  <c r="AZ99" i="3"/>
  <c r="AR99" i="3"/>
  <c r="AP99" i="3"/>
  <c r="AQ99" i="3"/>
  <c r="AO100" i="3"/>
  <c r="AU101" i="8"/>
  <c r="AV101" i="8" s="1"/>
  <c r="AO103" i="8"/>
  <c r="AZ102" i="8"/>
  <c r="AP102" i="8"/>
  <c r="AR102" i="8"/>
  <c r="AW100" i="8"/>
  <c r="AV100" i="8"/>
  <c r="AX97" i="2"/>
  <c r="AY97" i="2" s="1"/>
  <c r="BA97" i="2" s="1"/>
  <c r="AV98" i="2"/>
  <c r="AW98" i="2"/>
  <c r="AO100" i="2"/>
  <c r="AQ100" i="2" s="1"/>
  <c r="AR99" i="2"/>
  <c r="AU99" i="2" s="1"/>
  <c r="AP99" i="2"/>
  <c r="AZ99" i="2"/>
  <c r="AX121" i="9" l="1"/>
  <c r="AY121" i="9" s="1"/>
  <c r="BA121" i="9" s="1"/>
  <c r="AV122" i="9"/>
  <c r="AW122" i="9"/>
  <c r="AO124" i="9"/>
  <c r="AZ123" i="9"/>
  <c r="AQ123" i="9"/>
  <c r="AP123" i="9"/>
  <c r="AR123" i="9"/>
  <c r="AU123" i="9" s="1"/>
  <c r="AV98" i="3"/>
  <c r="AX98" i="3" s="1"/>
  <c r="AY98" i="3" s="1"/>
  <c r="BA98" i="3" s="1"/>
  <c r="AU99" i="3"/>
  <c r="AV99" i="3" s="1"/>
  <c r="AZ100" i="3"/>
  <c r="AR100" i="3"/>
  <c r="AP100" i="3"/>
  <c r="AQ100" i="3"/>
  <c r="AO101" i="3"/>
  <c r="AW101" i="8"/>
  <c r="AX101" i="8" s="1"/>
  <c r="AY101" i="8" s="1"/>
  <c r="BA101" i="8" s="1"/>
  <c r="AX100" i="8"/>
  <c r="AY100" i="8" s="1"/>
  <c r="BA100" i="8" s="1"/>
  <c r="AU102" i="8"/>
  <c r="AO104" i="8"/>
  <c r="AZ103" i="8"/>
  <c r="AP103" i="8"/>
  <c r="AR103" i="8"/>
  <c r="AX98" i="2"/>
  <c r="AY98" i="2" s="1"/>
  <c r="BA98" i="2" s="1"/>
  <c r="AV99" i="2"/>
  <c r="AW99" i="2"/>
  <c r="AO101" i="2"/>
  <c r="AQ101" i="2" s="1"/>
  <c r="AR100" i="2"/>
  <c r="AU100" i="2" s="1"/>
  <c r="AP100" i="2"/>
  <c r="AZ100" i="2"/>
  <c r="AX122" i="9" l="1"/>
  <c r="AY122" i="9" s="1"/>
  <c r="BA122" i="9" s="1"/>
  <c r="AV123" i="9"/>
  <c r="AW123" i="9"/>
  <c r="AO125" i="9"/>
  <c r="AQ124" i="9"/>
  <c r="AZ124" i="9"/>
  <c r="AP124" i="9"/>
  <c r="AR124" i="9"/>
  <c r="AU124" i="9" s="1"/>
  <c r="AU100" i="3"/>
  <c r="AW100" i="3" s="1"/>
  <c r="AW99" i="3"/>
  <c r="AX99" i="3" s="1"/>
  <c r="AY99" i="3" s="1"/>
  <c r="BA99" i="3" s="1"/>
  <c r="AZ101" i="3"/>
  <c r="AP101" i="3"/>
  <c r="AR101" i="3"/>
  <c r="AQ101" i="3"/>
  <c r="AO102" i="3"/>
  <c r="AU103" i="8"/>
  <c r="AV103" i="8" s="1"/>
  <c r="AZ104" i="8"/>
  <c r="AO105" i="8"/>
  <c r="AP104" i="8"/>
  <c r="AR104" i="8"/>
  <c r="AW102" i="8"/>
  <c r="AV102" i="8"/>
  <c r="AX99" i="2"/>
  <c r="AY99" i="2" s="1"/>
  <c r="BA99" i="2" s="1"/>
  <c r="AV100" i="2"/>
  <c r="AW100" i="2"/>
  <c r="AO102" i="2"/>
  <c r="AQ102" i="2" s="1"/>
  <c r="AR101" i="2"/>
  <c r="AU101" i="2" s="1"/>
  <c r="AP101" i="2"/>
  <c r="AZ101" i="2"/>
  <c r="AX123" i="9" l="1"/>
  <c r="AY123" i="9" s="1"/>
  <c r="BA123" i="9" s="1"/>
  <c r="AV124" i="9"/>
  <c r="AW124" i="9"/>
  <c r="AO126" i="9"/>
  <c r="AQ125" i="9"/>
  <c r="AZ125" i="9"/>
  <c r="AP125" i="9"/>
  <c r="AR125" i="9"/>
  <c r="AU125" i="9" s="1"/>
  <c r="AV100" i="3"/>
  <c r="AX100" i="3" s="1"/>
  <c r="AY100" i="3" s="1"/>
  <c r="BA100" i="3" s="1"/>
  <c r="AU101" i="3"/>
  <c r="AW101" i="3" s="1"/>
  <c r="AZ102" i="3"/>
  <c r="AR102" i="3"/>
  <c r="AP102" i="3"/>
  <c r="AQ102" i="3"/>
  <c r="AO103" i="3"/>
  <c r="AU104" i="8"/>
  <c r="AV104" i="8" s="1"/>
  <c r="AW103" i="8"/>
  <c r="AX103" i="8" s="1"/>
  <c r="AY103" i="8" s="1"/>
  <c r="BA103" i="8" s="1"/>
  <c r="AX102" i="8"/>
  <c r="AY102" i="8" s="1"/>
  <c r="BA102" i="8" s="1"/>
  <c r="AO106" i="8"/>
  <c r="AZ105" i="8"/>
  <c r="AP105" i="8"/>
  <c r="AR105" i="8"/>
  <c r="AX100" i="2"/>
  <c r="AY100" i="2" s="1"/>
  <c r="BA100" i="2" s="1"/>
  <c r="AV101" i="2"/>
  <c r="AW101" i="2"/>
  <c r="AO103" i="2"/>
  <c r="AQ103" i="2" s="1"/>
  <c r="AR102" i="2"/>
  <c r="AU102" i="2" s="1"/>
  <c r="AP102" i="2"/>
  <c r="AZ102" i="2"/>
  <c r="AX124" i="9" l="1"/>
  <c r="AY124" i="9" s="1"/>
  <c r="BA124" i="9" s="1"/>
  <c r="AV125" i="9"/>
  <c r="AW125" i="9"/>
  <c r="AZ126" i="9"/>
  <c r="AO127" i="9"/>
  <c r="AQ126" i="9"/>
  <c r="AP126" i="9"/>
  <c r="AR126" i="9"/>
  <c r="AU126" i="9" s="1"/>
  <c r="AV101" i="3"/>
  <c r="AX101" i="3" s="1"/>
  <c r="AY101" i="3" s="1"/>
  <c r="BA101" i="3" s="1"/>
  <c r="AU102" i="3"/>
  <c r="AW102" i="3" s="1"/>
  <c r="AZ103" i="3"/>
  <c r="AP103" i="3"/>
  <c r="AR103" i="3"/>
  <c r="AQ103" i="3"/>
  <c r="AO104" i="3"/>
  <c r="AW104" i="8"/>
  <c r="AX104" i="8" s="1"/>
  <c r="AY104" i="8" s="1"/>
  <c r="BA104" i="8" s="1"/>
  <c r="AU105" i="8"/>
  <c r="AV105" i="8" s="1"/>
  <c r="AZ106" i="8"/>
  <c r="AO107" i="8"/>
  <c r="AP106" i="8"/>
  <c r="AR106" i="8"/>
  <c r="AX101" i="2"/>
  <c r="AY101" i="2" s="1"/>
  <c r="BA101" i="2" s="1"/>
  <c r="AV102" i="2"/>
  <c r="AW102" i="2"/>
  <c r="AO104" i="2"/>
  <c r="AQ104" i="2" s="1"/>
  <c r="AR103" i="2"/>
  <c r="AU103" i="2" s="1"/>
  <c r="AP103" i="2"/>
  <c r="AZ103" i="2"/>
  <c r="AX125" i="9" l="1"/>
  <c r="AY125" i="9" s="1"/>
  <c r="BA125" i="9" s="1"/>
  <c r="AV126" i="9"/>
  <c r="AW126" i="9"/>
  <c r="AO128" i="9"/>
  <c r="AQ127" i="9"/>
  <c r="AZ127" i="9"/>
  <c r="AP127" i="9"/>
  <c r="AR127" i="9"/>
  <c r="AU127" i="9" s="1"/>
  <c r="D81" i="9"/>
  <c r="J75" i="9"/>
  <c r="E81" i="9"/>
  <c r="E75" i="9"/>
  <c r="K75" i="9"/>
  <c r="I75" i="9"/>
  <c r="H75" i="9"/>
  <c r="G75" i="9"/>
  <c r="F75" i="9"/>
  <c r="D75" i="9"/>
  <c r="AU103" i="3"/>
  <c r="AV103" i="3" s="1"/>
  <c r="AV102" i="3"/>
  <c r="AX102" i="3" s="1"/>
  <c r="AY102" i="3" s="1"/>
  <c r="BA102" i="3" s="1"/>
  <c r="AX102" i="2"/>
  <c r="AY102" i="2" s="1"/>
  <c r="BA102" i="2" s="1"/>
  <c r="AZ104" i="3"/>
  <c r="AP104" i="3"/>
  <c r="AR104" i="3"/>
  <c r="AQ104" i="3"/>
  <c r="AO105" i="3"/>
  <c r="AU106" i="8"/>
  <c r="AV106" i="8" s="1"/>
  <c r="AW105" i="8"/>
  <c r="AX105" i="8" s="1"/>
  <c r="AY105" i="8" s="1"/>
  <c r="BA105" i="8" s="1"/>
  <c r="AZ107" i="8"/>
  <c r="AO108" i="8"/>
  <c r="AP107" i="8"/>
  <c r="AR107" i="8"/>
  <c r="AV103" i="2"/>
  <c r="AW103" i="2"/>
  <c r="AO105" i="2"/>
  <c r="AQ105" i="2" s="1"/>
  <c r="AR104" i="2"/>
  <c r="AU104" i="2" s="1"/>
  <c r="AP104" i="2"/>
  <c r="AZ104" i="2"/>
  <c r="AX126" i="9" l="1"/>
  <c r="AY126" i="9" s="1"/>
  <c r="BA126" i="9" s="1"/>
  <c r="AV127" i="9"/>
  <c r="AW127" i="9"/>
  <c r="AO129" i="9"/>
  <c r="AQ128" i="9"/>
  <c r="AZ128" i="9"/>
  <c r="AP128" i="9"/>
  <c r="AR128" i="9"/>
  <c r="AU128" i="9" s="1"/>
  <c r="AW103" i="3"/>
  <c r="AX103" i="3" s="1"/>
  <c r="AY103" i="3" s="1"/>
  <c r="BA103" i="3" s="1"/>
  <c r="AU104" i="3"/>
  <c r="AV104" i="3" s="1"/>
  <c r="AX103" i="2"/>
  <c r="AY103" i="2" s="1"/>
  <c r="BA103" i="2" s="1"/>
  <c r="AZ105" i="3"/>
  <c r="AP105" i="3"/>
  <c r="AR105" i="3"/>
  <c r="AQ105" i="3"/>
  <c r="AO106" i="3"/>
  <c r="AW106" i="8"/>
  <c r="AX106" i="8" s="1"/>
  <c r="AY106" i="8" s="1"/>
  <c r="BA106" i="8" s="1"/>
  <c r="AU107" i="8"/>
  <c r="AV107" i="8" s="1"/>
  <c r="AZ108" i="8"/>
  <c r="AO109" i="8"/>
  <c r="AP108" i="8"/>
  <c r="AR108" i="8"/>
  <c r="AV104" i="2"/>
  <c r="AW104" i="2"/>
  <c r="AO106" i="2"/>
  <c r="AQ106" i="2" s="1"/>
  <c r="AR105" i="2"/>
  <c r="AU105" i="2" s="1"/>
  <c r="AP105" i="2"/>
  <c r="AZ105" i="2"/>
  <c r="AX127" i="9" l="1"/>
  <c r="AY127" i="9" s="1"/>
  <c r="BA127" i="9" s="1"/>
  <c r="AV128" i="9"/>
  <c r="AW128" i="9"/>
  <c r="AQ129" i="9"/>
  <c r="AZ129" i="9"/>
  <c r="AO130" i="9"/>
  <c r="AP129" i="9"/>
  <c r="AR129" i="9"/>
  <c r="AU129" i="9" s="1"/>
  <c r="AU105" i="3"/>
  <c r="AV105" i="3" s="1"/>
  <c r="AW104" i="3"/>
  <c r="AX104" i="3" s="1"/>
  <c r="AY104" i="3" s="1"/>
  <c r="BA104" i="3" s="1"/>
  <c r="AZ106" i="3"/>
  <c r="AR106" i="3"/>
  <c r="AP106" i="3"/>
  <c r="AQ106" i="3"/>
  <c r="AO107" i="3"/>
  <c r="AW107" i="8"/>
  <c r="AX107" i="8" s="1"/>
  <c r="AY107" i="8" s="1"/>
  <c r="BA107" i="8" s="1"/>
  <c r="AU108" i="8"/>
  <c r="AV108" i="8" s="1"/>
  <c r="AZ109" i="8"/>
  <c r="AO110" i="8"/>
  <c r="AP109" i="8"/>
  <c r="AR109" i="8"/>
  <c r="AX104" i="2"/>
  <c r="AY104" i="2" s="1"/>
  <c r="BA104" i="2" s="1"/>
  <c r="AV105" i="2"/>
  <c r="AW105" i="2"/>
  <c r="AO107" i="2"/>
  <c r="AQ107" i="2" s="1"/>
  <c r="AR106" i="2"/>
  <c r="AU106" i="2" s="1"/>
  <c r="AP106" i="2"/>
  <c r="AZ106" i="2"/>
  <c r="AX128" i="9" l="1"/>
  <c r="AY128" i="9" s="1"/>
  <c r="BA128" i="9" s="1"/>
  <c r="AV129" i="9"/>
  <c r="AW129" i="9"/>
  <c r="AO131" i="9"/>
  <c r="AQ130" i="9"/>
  <c r="AZ130" i="9"/>
  <c r="AP130" i="9"/>
  <c r="AR130" i="9"/>
  <c r="AU130" i="9" s="1"/>
  <c r="AW105" i="3"/>
  <c r="AX105" i="3" s="1"/>
  <c r="AY105" i="3" s="1"/>
  <c r="BA105" i="3" s="1"/>
  <c r="AU106" i="3"/>
  <c r="AV106" i="3" s="1"/>
  <c r="AZ107" i="3"/>
  <c r="AP107" i="3"/>
  <c r="AR107" i="3"/>
  <c r="AQ107" i="3"/>
  <c r="AO108" i="3"/>
  <c r="AW108" i="8"/>
  <c r="AX108" i="8" s="1"/>
  <c r="AY108" i="8" s="1"/>
  <c r="BA108" i="8" s="1"/>
  <c r="AU109" i="8"/>
  <c r="AV109" i="8" s="1"/>
  <c r="AZ110" i="8"/>
  <c r="AO111" i="8"/>
  <c r="AP110" i="8"/>
  <c r="AR110" i="8"/>
  <c r="AX105" i="2"/>
  <c r="AY105" i="2" s="1"/>
  <c r="BA105" i="2" s="1"/>
  <c r="AV106" i="2"/>
  <c r="AW106" i="2"/>
  <c r="AO108" i="2"/>
  <c r="AQ108" i="2" s="1"/>
  <c r="AR107" i="2"/>
  <c r="AP107" i="2"/>
  <c r="AZ107" i="2"/>
  <c r="AX129" i="9" l="1"/>
  <c r="AY129" i="9" s="1"/>
  <c r="BA129" i="9" s="1"/>
  <c r="AW130" i="9"/>
  <c r="AV130" i="9"/>
  <c r="AX130" i="9" s="1"/>
  <c r="AY130" i="9" s="1"/>
  <c r="BA130" i="9" s="1"/>
  <c r="AZ131" i="9"/>
  <c r="AO132" i="9"/>
  <c r="AQ131" i="9"/>
  <c r="AP131" i="9"/>
  <c r="AR131" i="9"/>
  <c r="AU131" i="9" s="1"/>
  <c r="AW106" i="3"/>
  <c r="AX106" i="3" s="1"/>
  <c r="AY106" i="3" s="1"/>
  <c r="BA106" i="3" s="1"/>
  <c r="AZ108" i="3"/>
  <c r="AP108" i="3"/>
  <c r="AR108" i="3"/>
  <c r="AQ108" i="3"/>
  <c r="AU108" i="3" s="1"/>
  <c r="AO109" i="3"/>
  <c r="AU107" i="3"/>
  <c r="AW109" i="8"/>
  <c r="AX109" i="8" s="1"/>
  <c r="AY109" i="8" s="1"/>
  <c r="BA109" i="8" s="1"/>
  <c r="AU110" i="8"/>
  <c r="AV110" i="8" s="1"/>
  <c r="AZ111" i="8"/>
  <c r="AO112" i="8"/>
  <c r="AP111" i="8"/>
  <c r="AR111" i="8"/>
  <c r="AX106" i="2"/>
  <c r="AY106" i="2" s="1"/>
  <c r="BA106" i="2" s="1"/>
  <c r="AU107" i="2"/>
  <c r="AO109" i="2"/>
  <c r="AQ109" i="2" s="1"/>
  <c r="AR108" i="2"/>
  <c r="AU108" i="2" s="1"/>
  <c r="AP108" i="2"/>
  <c r="AZ108" i="2"/>
  <c r="AV131" i="9" l="1"/>
  <c r="AW131" i="9"/>
  <c r="AO133" i="9"/>
  <c r="AQ132" i="9"/>
  <c r="AZ132" i="9"/>
  <c r="AP132" i="9"/>
  <c r="AR132" i="9"/>
  <c r="AU132" i="9" s="1"/>
  <c r="AW108" i="3"/>
  <c r="AV108" i="3"/>
  <c r="AW107" i="3"/>
  <c r="AV107" i="3"/>
  <c r="AZ109" i="3"/>
  <c r="AP109" i="3"/>
  <c r="AR109" i="3"/>
  <c r="AQ109" i="3"/>
  <c r="AO110" i="3"/>
  <c r="AW110" i="8"/>
  <c r="AX110" i="8" s="1"/>
  <c r="AY110" i="8" s="1"/>
  <c r="BA110" i="8" s="1"/>
  <c r="AU111" i="8"/>
  <c r="AV111" i="8" s="1"/>
  <c r="AZ112" i="8"/>
  <c r="AO113" i="8"/>
  <c r="AP112" i="8"/>
  <c r="AR112" i="8"/>
  <c r="AV108" i="2"/>
  <c r="AW108" i="2"/>
  <c r="AO110" i="2"/>
  <c r="AQ110" i="2" s="1"/>
  <c r="AR109" i="2"/>
  <c r="AU109" i="2" s="1"/>
  <c r="AP109" i="2"/>
  <c r="AZ109" i="2"/>
  <c r="AV107" i="2"/>
  <c r="AW107" i="2"/>
  <c r="AV132" i="9" l="1"/>
  <c r="AW132" i="9"/>
  <c r="AO134" i="9"/>
  <c r="AQ133" i="9"/>
  <c r="AZ133" i="9"/>
  <c r="AP133" i="9"/>
  <c r="AR133" i="9"/>
  <c r="AU133" i="9" s="1"/>
  <c r="AX131" i="9"/>
  <c r="AY131" i="9" s="1"/>
  <c r="BA131" i="9" s="1"/>
  <c r="AU109" i="3"/>
  <c r="AW109" i="3" s="1"/>
  <c r="AX107" i="3"/>
  <c r="AY107" i="3" s="1"/>
  <c r="BA107" i="3" s="1"/>
  <c r="AX108" i="3"/>
  <c r="AY108" i="3" s="1"/>
  <c r="BA108" i="3" s="1"/>
  <c r="AZ110" i="3"/>
  <c r="AR110" i="3"/>
  <c r="AP110" i="3"/>
  <c r="AQ110" i="3"/>
  <c r="AO111" i="3"/>
  <c r="AW111" i="8"/>
  <c r="AX111" i="8" s="1"/>
  <c r="AY111" i="8" s="1"/>
  <c r="BA111" i="8" s="1"/>
  <c r="AU112" i="8"/>
  <c r="AV112" i="8" s="1"/>
  <c r="AZ113" i="8"/>
  <c r="AO114" i="8"/>
  <c r="AP113" i="8"/>
  <c r="AR113" i="8"/>
  <c r="AX108" i="2"/>
  <c r="AY108" i="2" s="1"/>
  <c r="BA108" i="2" s="1"/>
  <c r="AV109" i="2"/>
  <c r="AW109" i="2"/>
  <c r="AX107" i="2"/>
  <c r="AY107" i="2" s="1"/>
  <c r="BA107" i="2" s="1"/>
  <c r="AO111" i="2"/>
  <c r="AQ111" i="2" s="1"/>
  <c r="AR110" i="2"/>
  <c r="AU110" i="2" s="1"/>
  <c r="AP110" i="2"/>
  <c r="AZ110" i="2"/>
  <c r="AV133" i="9" l="1"/>
  <c r="AW133" i="9"/>
  <c r="AZ134" i="9"/>
  <c r="AQ134" i="9"/>
  <c r="AO135" i="9"/>
  <c r="AP134" i="9"/>
  <c r="AR134" i="9"/>
  <c r="AU134" i="9" s="1"/>
  <c r="AX132" i="9"/>
  <c r="AY132" i="9" s="1"/>
  <c r="BA132" i="9" s="1"/>
  <c r="AV109" i="3"/>
  <c r="AX109" i="3" s="1"/>
  <c r="AY109" i="3" s="1"/>
  <c r="BA109" i="3" s="1"/>
  <c r="AU110" i="3"/>
  <c r="AZ111" i="3"/>
  <c r="AR111" i="3"/>
  <c r="AP111" i="3"/>
  <c r="AQ111" i="3"/>
  <c r="AO112" i="3"/>
  <c r="AW112" i="8"/>
  <c r="AX112" i="8" s="1"/>
  <c r="AY112" i="8" s="1"/>
  <c r="BA112" i="8" s="1"/>
  <c r="AU113" i="8"/>
  <c r="AW113" i="8" s="1"/>
  <c r="AZ114" i="8"/>
  <c r="AO115" i="8"/>
  <c r="AP114" i="8"/>
  <c r="AR114" i="8"/>
  <c r="AX109" i="2"/>
  <c r="AY109" i="2" s="1"/>
  <c r="BA109" i="2" s="1"/>
  <c r="AV110" i="2"/>
  <c r="AW110" i="2"/>
  <c r="AZ111" i="2"/>
  <c r="AR111" i="2"/>
  <c r="AU111" i="2" s="1"/>
  <c r="AP111" i="2"/>
  <c r="AO112" i="2"/>
  <c r="AQ112" i="2" s="1"/>
  <c r="AX133" i="9" l="1"/>
  <c r="AY133" i="9" s="1"/>
  <c r="BA133" i="9" s="1"/>
  <c r="AV134" i="9"/>
  <c r="AW134" i="9"/>
  <c r="AO136" i="9"/>
  <c r="AQ135" i="9"/>
  <c r="AZ135" i="9"/>
  <c r="AP135" i="9"/>
  <c r="AR135" i="9"/>
  <c r="AU135" i="9" s="1"/>
  <c r="AX110" i="2"/>
  <c r="AY110" i="2" s="1"/>
  <c r="BA110" i="2" s="1"/>
  <c r="AU111" i="3"/>
  <c r="AV111" i="3" s="1"/>
  <c r="AZ112" i="3"/>
  <c r="AP112" i="3"/>
  <c r="AR112" i="3"/>
  <c r="AQ112" i="3"/>
  <c r="AO113" i="3"/>
  <c r="AW110" i="3"/>
  <c r="AV110" i="3"/>
  <c r="AV113" i="8"/>
  <c r="AX113" i="8" s="1"/>
  <c r="AY113" i="8" s="1"/>
  <c r="BA113" i="8" s="1"/>
  <c r="AU114" i="8"/>
  <c r="AV114" i="8" s="1"/>
  <c r="AZ115" i="8"/>
  <c r="AO116" i="8"/>
  <c r="AP115" i="8"/>
  <c r="AR115" i="8"/>
  <c r="AV111" i="2"/>
  <c r="AW111" i="2"/>
  <c r="AZ112" i="2"/>
  <c r="AR112" i="2"/>
  <c r="AU112" i="2" s="1"/>
  <c r="AO113" i="2"/>
  <c r="AQ113" i="2" s="1"/>
  <c r="AP112" i="2"/>
  <c r="AX134" i="9" l="1"/>
  <c r="AY134" i="9" s="1"/>
  <c r="BA134" i="9" s="1"/>
  <c r="AV135" i="9"/>
  <c r="AW135" i="9"/>
  <c r="AO137" i="9"/>
  <c r="AQ136" i="9"/>
  <c r="AZ136" i="9"/>
  <c r="AP136" i="9"/>
  <c r="AR136" i="9"/>
  <c r="AU136" i="9" s="1"/>
  <c r="AU112" i="3"/>
  <c r="AV112" i="3" s="1"/>
  <c r="AX111" i="2"/>
  <c r="AY111" i="2" s="1"/>
  <c r="BA111" i="2" s="1"/>
  <c r="AW111" i="3"/>
  <c r="AX111" i="3" s="1"/>
  <c r="AY111" i="3" s="1"/>
  <c r="BA111" i="3" s="1"/>
  <c r="AX110" i="3"/>
  <c r="AY110" i="3" s="1"/>
  <c r="BA110" i="3" s="1"/>
  <c r="AZ113" i="3"/>
  <c r="AP113" i="3"/>
  <c r="AR113" i="3"/>
  <c r="AQ113" i="3"/>
  <c r="AO114" i="3"/>
  <c r="AW114" i="8"/>
  <c r="AX114" i="8" s="1"/>
  <c r="AY114" i="8" s="1"/>
  <c r="BA114" i="8" s="1"/>
  <c r="AU115" i="8"/>
  <c r="AV115" i="8" s="1"/>
  <c r="AZ116" i="8"/>
  <c r="AO117" i="8"/>
  <c r="AP116" i="8"/>
  <c r="AR116" i="8"/>
  <c r="AZ113" i="2"/>
  <c r="AO114" i="2"/>
  <c r="AQ114" i="2" s="1"/>
  <c r="AP113" i="2"/>
  <c r="AR113" i="2"/>
  <c r="AU113" i="2" s="1"/>
  <c r="AV112" i="2"/>
  <c r="AW112" i="2"/>
  <c r="AV136" i="9" l="1"/>
  <c r="AW136" i="9"/>
  <c r="AQ137" i="9"/>
  <c r="AZ137" i="9"/>
  <c r="AO138" i="9"/>
  <c r="AP137" i="9"/>
  <c r="AR137" i="9"/>
  <c r="AU137" i="9" s="1"/>
  <c r="AX135" i="9"/>
  <c r="AY135" i="9" s="1"/>
  <c r="BA135" i="9" s="1"/>
  <c r="AW112" i="3"/>
  <c r="AX112" i="3" s="1"/>
  <c r="AY112" i="3" s="1"/>
  <c r="BA112" i="3" s="1"/>
  <c r="AU113" i="3"/>
  <c r="AV113" i="3" s="1"/>
  <c r="AZ114" i="3"/>
  <c r="AR114" i="3"/>
  <c r="AP114" i="3"/>
  <c r="AQ114" i="3"/>
  <c r="AO115" i="3"/>
  <c r="AW115" i="8"/>
  <c r="AX115" i="8" s="1"/>
  <c r="AY115" i="8" s="1"/>
  <c r="BA115" i="8" s="1"/>
  <c r="AU116" i="8"/>
  <c r="AV116" i="8" s="1"/>
  <c r="AZ117" i="8"/>
  <c r="AO118" i="8"/>
  <c r="AP117" i="8"/>
  <c r="AR117" i="8"/>
  <c r="AX112" i="2"/>
  <c r="AY112" i="2" s="1"/>
  <c r="BA112" i="2" s="1"/>
  <c r="AZ114" i="2"/>
  <c r="AR114" i="2"/>
  <c r="AU114" i="2" s="1"/>
  <c r="AO115" i="2"/>
  <c r="AQ115" i="2" s="1"/>
  <c r="AP114" i="2"/>
  <c r="AV113" i="2"/>
  <c r="AW113" i="2"/>
  <c r="AV137" i="9" l="1"/>
  <c r="AW137" i="9"/>
  <c r="AZ138" i="9"/>
  <c r="AQ138" i="9"/>
  <c r="AO139" i="9"/>
  <c r="AP138" i="9"/>
  <c r="AR138" i="9"/>
  <c r="AU138" i="9" s="1"/>
  <c r="AX136" i="9"/>
  <c r="AY136" i="9" s="1"/>
  <c r="BA136" i="9" s="1"/>
  <c r="AW113" i="3"/>
  <c r="AX113" i="3" s="1"/>
  <c r="AY113" i="3" s="1"/>
  <c r="BA113" i="3" s="1"/>
  <c r="AU114" i="3"/>
  <c r="AZ115" i="3"/>
  <c r="AP115" i="3"/>
  <c r="AR115" i="3"/>
  <c r="AQ115" i="3"/>
  <c r="AO116" i="3"/>
  <c r="AW116" i="8"/>
  <c r="AX116" i="8" s="1"/>
  <c r="AY116" i="8" s="1"/>
  <c r="BA116" i="8" s="1"/>
  <c r="AU117" i="8"/>
  <c r="AV117" i="8" s="1"/>
  <c r="AZ118" i="8"/>
  <c r="AO119" i="8"/>
  <c r="AP118" i="8"/>
  <c r="AR118" i="8"/>
  <c r="AX113" i="2"/>
  <c r="AY113" i="2" s="1"/>
  <c r="BA113" i="2" s="1"/>
  <c r="AZ115" i="2"/>
  <c r="AR115" i="2"/>
  <c r="AU115" i="2" s="1"/>
  <c r="AO116" i="2"/>
  <c r="AQ116" i="2" s="1"/>
  <c r="AP115" i="2"/>
  <c r="AV114" i="2"/>
  <c r="AW114" i="2"/>
  <c r="AX137" i="9" l="1"/>
  <c r="AY137" i="9" s="1"/>
  <c r="BA137" i="9" s="1"/>
  <c r="AV138" i="9"/>
  <c r="AW138" i="9"/>
  <c r="AO140" i="9"/>
  <c r="AQ139" i="9"/>
  <c r="AZ139" i="9"/>
  <c r="AP139" i="9"/>
  <c r="AR139" i="9"/>
  <c r="AU139" i="9" s="1"/>
  <c r="AZ116" i="3"/>
  <c r="AP116" i="3"/>
  <c r="AR116" i="3"/>
  <c r="AQ116" i="3"/>
  <c r="AO117" i="3"/>
  <c r="AU115" i="3"/>
  <c r="AW114" i="3"/>
  <c r="AV114" i="3"/>
  <c r="AW117" i="8"/>
  <c r="AX117" i="8" s="1"/>
  <c r="AY117" i="8" s="1"/>
  <c r="BA117" i="8" s="1"/>
  <c r="AU118" i="8"/>
  <c r="AV118" i="8" s="1"/>
  <c r="AZ119" i="8"/>
  <c r="AO120" i="8"/>
  <c r="AP119" i="8"/>
  <c r="AR119" i="8"/>
  <c r="AX114" i="2"/>
  <c r="AY114" i="2" s="1"/>
  <c r="BA114" i="2" s="1"/>
  <c r="AZ116" i="2"/>
  <c r="AR116" i="2"/>
  <c r="AU116" i="2" s="1"/>
  <c r="AO117" i="2"/>
  <c r="AQ117" i="2" s="1"/>
  <c r="AP116" i="2"/>
  <c r="AV115" i="2"/>
  <c r="AW115" i="2"/>
  <c r="AV139" i="9" l="1"/>
  <c r="AW139" i="9"/>
  <c r="AO141" i="9"/>
  <c r="AZ140" i="9"/>
  <c r="AQ140" i="9"/>
  <c r="AP140" i="9"/>
  <c r="AR140" i="9"/>
  <c r="AU140" i="9" s="1"/>
  <c r="AX138" i="9"/>
  <c r="AY138" i="9" s="1"/>
  <c r="BA138" i="9" s="1"/>
  <c r="AX114" i="3"/>
  <c r="AY114" i="3" s="1"/>
  <c r="BA114" i="3" s="1"/>
  <c r="AU116" i="3"/>
  <c r="AV116" i="3" s="1"/>
  <c r="AW115" i="3"/>
  <c r="AV115" i="3"/>
  <c r="AZ117" i="3"/>
  <c r="AP117" i="3"/>
  <c r="AR117" i="3"/>
  <c r="AQ117" i="3"/>
  <c r="AO118" i="3"/>
  <c r="AU119" i="8"/>
  <c r="AV119" i="8" s="1"/>
  <c r="AW118" i="8"/>
  <c r="AX118" i="8" s="1"/>
  <c r="AY118" i="8" s="1"/>
  <c r="BA118" i="8" s="1"/>
  <c r="AZ120" i="8"/>
  <c r="AO121" i="8"/>
  <c r="AP120" i="8"/>
  <c r="AR120" i="8"/>
  <c r="AX115" i="2"/>
  <c r="AY115" i="2" s="1"/>
  <c r="BA115" i="2" s="1"/>
  <c r="AZ117" i="2"/>
  <c r="AO118" i="2"/>
  <c r="AQ118" i="2" s="1"/>
  <c r="AP117" i="2"/>
  <c r="AR117" i="2"/>
  <c r="AU117" i="2" s="1"/>
  <c r="AV116" i="2"/>
  <c r="AW116" i="2"/>
  <c r="AX139" i="9" l="1"/>
  <c r="AY139" i="9" s="1"/>
  <c r="BA139" i="9" s="1"/>
  <c r="AW140" i="9"/>
  <c r="AV140" i="9"/>
  <c r="AX140" i="9" s="1"/>
  <c r="AY140" i="9" s="1"/>
  <c r="BA140" i="9" s="1"/>
  <c r="AO142" i="9"/>
  <c r="AQ141" i="9"/>
  <c r="AZ141" i="9"/>
  <c r="AP141" i="9"/>
  <c r="AR141" i="9"/>
  <c r="AU141" i="9" s="1"/>
  <c r="AX115" i="3"/>
  <c r="AY115" i="3" s="1"/>
  <c r="BA115" i="3" s="1"/>
  <c r="AW116" i="3"/>
  <c r="AX116" i="3" s="1"/>
  <c r="AY116" i="3" s="1"/>
  <c r="BA116" i="3" s="1"/>
  <c r="AU117" i="3"/>
  <c r="AW117" i="3" s="1"/>
  <c r="AZ118" i="3"/>
  <c r="AR118" i="3"/>
  <c r="AP118" i="3"/>
  <c r="AQ118" i="3"/>
  <c r="AO119" i="3"/>
  <c r="AW119" i="8"/>
  <c r="AX119" i="8" s="1"/>
  <c r="AY119" i="8" s="1"/>
  <c r="BA119" i="8" s="1"/>
  <c r="AU120" i="8"/>
  <c r="AV120" i="8" s="1"/>
  <c r="AZ121" i="8"/>
  <c r="AO122" i="8"/>
  <c r="AP121" i="8"/>
  <c r="AR121" i="8"/>
  <c r="AX116" i="2"/>
  <c r="AY116" i="2" s="1"/>
  <c r="BA116" i="2" s="1"/>
  <c r="AZ118" i="2"/>
  <c r="AR118" i="2"/>
  <c r="AU118" i="2" s="1"/>
  <c r="AO119" i="2"/>
  <c r="AQ119" i="2" s="1"/>
  <c r="AP118" i="2"/>
  <c r="AV117" i="2"/>
  <c r="AW117" i="2"/>
  <c r="AV141" i="9" l="1"/>
  <c r="AW141" i="9"/>
  <c r="AO143" i="9"/>
  <c r="AZ142" i="9"/>
  <c r="AQ142" i="9"/>
  <c r="AP142" i="9"/>
  <c r="AR142" i="9"/>
  <c r="AU142" i="9" s="1"/>
  <c r="AU118" i="3"/>
  <c r="AW118" i="3" s="1"/>
  <c r="AV117" i="3"/>
  <c r="AX117" i="3" s="1"/>
  <c r="AY117" i="3" s="1"/>
  <c r="BA117" i="3" s="1"/>
  <c r="AZ119" i="3"/>
  <c r="AP119" i="3"/>
  <c r="AR119" i="3"/>
  <c r="AQ119" i="3"/>
  <c r="AO120" i="3"/>
  <c r="AW120" i="8"/>
  <c r="AX120" i="8" s="1"/>
  <c r="AY120" i="8" s="1"/>
  <c r="BA120" i="8" s="1"/>
  <c r="AU121" i="8"/>
  <c r="AV121" i="8" s="1"/>
  <c r="AZ122" i="8"/>
  <c r="AO123" i="8"/>
  <c r="AP122" i="8"/>
  <c r="AR122" i="8"/>
  <c r="AX117" i="2"/>
  <c r="AY117" i="2" s="1"/>
  <c r="BA117" i="2" s="1"/>
  <c r="AZ119" i="2"/>
  <c r="AR119" i="2"/>
  <c r="AU119" i="2" s="1"/>
  <c r="AO120" i="2"/>
  <c r="AQ120" i="2" s="1"/>
  <c r="AP119" i="2"/>
  <c r="AV118" i="2"/>
  <c r="AW118" i="2"/>
  <c r="AX141" i="9" l="1"/>
  <c r="AY141" i="9" s="1"/>
  <c r="BA141" i="9" s="1"/>
  <c r="AW142" i="9"/>
  <c r="AV142" i="9"/>
  <c r="AX142" i="9" s="1"/>
  <c r="AY142" i="9" s="1"/>
  <c r="BA142" i="9" s="1"/>
  <c r="AO144" i="9"/>
  <c r="AZ143" i="9"/>
  <c r="AQ143" i="9"/>
  <c r="AP143" i="9"/>
  <c r="AR143" i="9"/>
  <c r="AU143" i="9" s="1"/>
  <c r="AV118" i="3"/>
  <c r="AX118" i="3" s="1"/>
  <c r="AY118" i="3" s="1"/>
  <c r="BA118" i="3" s="1"/>
  <c r="AU119" i="3"/>
  <c r="AW119" i="3" s="1"/>
  <c r="AZ120" i="3"/>
  <c r="AP120" i="3"/>
  <c r="AR120" i="3"/>
  <c r="AQ120" i="3"/>
  <c r="AO121" i="3"/>
  <c r="AW121" i="8"/>
  <c r="AX121" i="8" s="1"/>
  <c r="AY121" i="8" s="1"/>
  <c r="BA121" i="8" s="1"/>
  <c r="AZ123" i="8"/>
  <c r="AO124" i="8"/>
  <c r="AP123" i="8"/>
  <c r="AR123" i="8"/>
  <c r="AU122" i="8"/>
  <c r="AX118" i="2"/>
  <c r="AY118" i="2" s="1"/>
  <c r="BA118" i="2" s="1"/>
  <c r="AZ120" i="2"/>
  <c r="AR120" i="2"/>
  <c r="AU120" i="2" s="1"/>
  <c r="AO121" i="2"/>
  <c r="AQ121" i="2" s="1"/>
  <c r="AP120" i="2"/>
  <c r="AV119" i="2"/>
  <c r="AW119" i="2"/>
  <c r="AV143" i="9" l="1"/>
  <c r="AX143" i="9" s="1"/>
  <c r="AY143" i="9" s="1"/>
  <c r="BA143" i="9" s="1"/>
  <c r="AW143" i="9"/>
  <c r="AO145" i="9"/>
  <c r="AZ144" i="9"/>
  <c r="AQ144" i="9"/>
  <c r="AP144" i="9"/>
  <c r="AR144" i="9"/>
  <c r="AU144" i="9" s="1"/>
  <c r="AU120" i="3"/>
  <c r="AW120" i="3" s="1"/>
  <c r="AV119" i="3"/>
  <c r="AX119" i="3" s="1"/>
  <c r="AY119" i="3" s="1"/>
  <c r="BA119" i="3" s="1"/>
  <c r="AZ121" i="3"/>
  <c r="AP121" i="3"/>
  <c r="AR121" i="3"/>
  <c r="AQ121" i="3"/>
  <c r="AO122" i="3"/>
  <c r="AU123" i="8"/>
  <c r="AV123" i="8" s="1"/>
  <c r="AZ124" i="8"/>
  <c r="AO125" i="8"/>
  <c r="AP124" i="8"/>
  <c r="AR124" i="8"/>
  <c r="AV122" i="8"/>
  <c r="AW122" i="8"/>
  <c r="AX119" i="2"/>
  <c r="AY119" i="2" s="1"/>
  <c r="BA119" i="2" s="1"/>
  <c r="AZ121" i="2"/>
  <c r="AO122" i="2"/>
  <c r="AQ122" i="2" s="1"/>
  <c r="AP121" i="2"/>
  <c r="AR121" i="2"/>
  <c r="AU121" i="2" s="1"/>
  <c r="AV120" i="2"/>
  <c r="AW120" i="2"/>
  <c r="AW144" i="9" l="1"/>
  <c r="AV144" i="9"/>
  <c r="AX144" i="9" s="1"/>
  <c r="AY144" i="9" s="1"/>
  <c r="BA144" i="9" s="1"/>
  <c r="AO146" i="9"/>
  <c r="AZ145" i="9"/>
  <c r="AQ145" i="9"/>
  <c r="AP145" i="9"/>
  <c r="AR145" i="9"/>
  <c r="AU145" i="9" s="1"/>
  <c r="AU121" i="3"/>
  <c r="AV121" i="3" s="1"/>
  <c r="AV120" i="3"/>
  <c r="AX120" i="3" s="1"/>
  <c r="AY120" i="3" s="1"/>
  <c r="BA120" i="3" s="1"/>
  <c r="AZ122" i="3"/>
  <c r="AP122" i="3"/>
  <c r="AR122" i="3"/>
  <c r="AQ122" i="3"/>
  <c r="AO123" i="3"/>
  <c r="AW123" i="8"/>
  <c r="AX123" i="8" s="1"/>
  <c r="AY123" i="8" s="1"/>
  <c r="BA123" i="8" s="1"/>
  <c r="AU124" i="8"/>
  <c r="AV124" i="8" s="1"/>
  <c r="AZ125" i="8"/>
  <c r="AO126" i="8"/>
  <c r="AP125" i="8"/>
  <c r="AR125" i="8"/>
  <c r="AX122" i="8"/>
  <c r="AY122" i="8" s="1"/>
  <c r="BA122" i="8" s="1"/>
  <c r="AX120" i="2"/>
  <c r="AY120" i="2" s="1"/>
  <c r="BA120" i="2" s="1"/>
  <c r="AZ122" i="2"/>
  <c r="AR122" i="2"/>
  <c r="AU122" i="2" s="1"/>
  <c r="AO123" i="2"/>
  <c r="AQ123" i="2" s="1"/>
  <c r="AP122" i="2"/>
  <c r="AV121" i="2"/>
  <c r="AW121" i="2"/>
  <c r="AV145" i="9" l="1"/>
  <c r="AW145" i="9"/>
  <c r="AO147" i="9"/>
  <c r="AZ146" i="9"/>
  <c r="AQ146" i="9"/>
  <c r="AP146" i="9"/>
  <c r="AR146" i="9"/>
  <c r="AU146" i="9" s="1"/>
  <c r="AW121" i="3"/>
  <c r="AX121" i="3" s="1"/>
  <c r="AY121" i="3" s="1"/>
  <c r="BA121" i="3" s="1"/>
  <c r="AU122" i="3"/>
  <c r="AV122" i="3" s="1"/>
  <c r="AZ123" i="3"/>
  <c r="AP123" i="3"/>
  <c r="AR123" i="3"/>
  <c r="AQ123" i="3"/>
  <c r="AU123" i="3" s="1"/>
  <c r="AO124" i="3"/>
  <c r="AW124" i="8"/>
  <c r="AX124" i="8" s="1"/>
  <c r="AY124" i="8" s="1"/>
  <c r="BA124" i="8" s="1"/>
  <c r="AU125" i="8"/>
  <c r="AV125" i="8" s="1"/>
  <c r="AZ126" i="8"/>
  <c r="AO127" i="8"/>
  <c r="AP126" i="8"/>
  <c r="AR126" i="8"/>
  <c r="AX121" i="2"/>
  <c r="AY121" i="2" s="1"/>
  <c r="BA121" i="2" s="1"/>
  <c r="AZ123" i="2"/>
  <c r="AR123" i="2"/>
  <c r="AU123" i="2" s="1"/>
  <c r="AO124" i="2"/>
  <c r="AQ124" i="2" s="1"/>
  <c r="AP123" i="2"/>
  <c r="AV122" i="2"/>
  <c r="AW122" i="2"/>
  <c r="AX145" i="9" l="1"/>
  <c r="AY145" i="9" s="1"/>
  <c r="BA145" i="9" s="1"/>
  <c r="AW146" i="9"/>
  <c r="AV146" i="9"/>
  <c r="AX146" i="9" s="1"/>
  <c r="AY146" i="9" s="1"/>
  <c r="BA146" i="9" s="1"/>
  <c r="AO148" i="9"/>
  <c r="AZ147" i="9"/>
  <c r="AQ147" i="9"/>
  <c r="AP147" i="9"/>
  <c r="AR147" i="9"/>
  <c r="AW122" i="3"/>
  <c r="AX122" i="3" s="1"/>
  <c r="AY122" i="3" s="1"/>
  <c r="BA122" i="3" s="1"/>
  <c r="AW123" i="3"/>
  <c r="AV123" i="3"/>
  <c r="AX122" i="2"/>
  <c r="AY122" i="2" s="1"/>
  <c r="BA122" i="2" s="1"/>
  <c r="AZ124" i="3"/>
  <c r="AR124" i="3"/>
  <c r="AP124" i="3"/>
  <c r="AQ124" i="3"/>
  <c r="AO125" i="3"/>
  <c r="AW125" i="8"/>
  <c r="AX125" i="8" s="1"/>
  <c r="AY125" i="8" s="1"/>
  <c r="BA125" i="8" s="1"/>
  <c r="AU126" i="8"/>
  <c r="AZ127" i="8"/>
  <c r="AO128" i="8"/>
  <c r="AP127" i="8"/>
  <c r="AR127" i="8"/>
  <c r="AZ124" i="2"/>
  <c r="AR124" i="2"/>
  <c r="AU124" i="2" s="1"/>
  <c r="AO125" i="2"/>
  <c r="AQ125" i="2" s="1"/>
  <c r="AP124" i="2"/>
  <c r="AV123" i="2"/>
  <c r="AW123" i="2"/>
  <c r="AU147" i="9" l="1"/>
  <c r="AV147" i="9" s="1"/>
  <c r="AO149" i="9"/>
  <c r="AZ148" i="9"/>
  <c r="AQ148" i="9"/>
  <c r="AP148" i="9"/>
  <c r="AR148" i="9"/>
  <c r="AU148" i="9" s="1"/>
  <c r="AX123" i="3"/>
  <c r="AY123" i="3" s="1"/>
  <c r="BA123" i="3" s="1"/>
  <c r="AX123" i="2"/>
  <c r="AY123" i="2" s="1"/>
  <c r="BA123" i="2" s="1"/>
  <c r="AU124" i="3"/>
  <c r="AV124" i="3" s="1"/>
  <c r="AZ125" i="3"/>
  <c r="AP125" i="3"/>
  <c r="AR125" i="3"/>
  <c r="AQ125" i="3"/>
  <c r="AO126" i="3"/>
  <c r="AZ128" i="8"/>
  <c r="AO129" i="8"/>
  <c r="AP128" i="8"/>
  <c r="AR128" i="8"/>
  <c r="AU127" i="8"/>
  <c r="AV126" i="8"/>
  <c r="AW126" i="8"/>
  <c r="AZ125" i="2"/>
  <c r="AO126" i="2"/>
  <c r="AQ126" i="2" s="1"/>
  <c r="AP125" i="2"/>
  <c r="AR125" i="2"/>
  <c r="AU125" i="2" s="1"/>
  <c r="AV124" i="2"/>
  <c r="AW124" i="2"/>
  <c r="AW147" i="9" l="1"/>
  <c r="AX147" i="9" s="1"/>
  <c r="AY147" i="9" s="1"/>
  <c r="BA147" i="9" s="1"/>
  <c r="AW148" i="9"/>
  <c r="AV148" i="9"/>
  <c r="AX148" i="9" s="1"/>
  <c r="AY148" i="9" s="1"/>
  <c r="BA148" i="9" s="1"/>
  <c r="AO150" i="9"/>
  <c r="AQ149" i="9"/>
  <c r="AZ149" i="9"/>
  <c r="AP149" i="9"/>
  <c r="AR149" i="9"/>
  <c r="AX124" i="2"/>
  <c r="AY124" i="2" s="1"/>
  <c r="BA124" i="2" s="1"/>
  <c r="AU125" i="3"/>
  <c r="AV125" i="3" s="1"/>
  <c r="AW124" i="3"/>
  <c r="AX124" i="3" s="1"/>
  <c r="AY124" i="3" s="1"/>
  <c r="BA124" i="3" s="1"/>
  <c r="AZ126" i="3"/>
  <c r="AP126" i="3"/>
  <c r="AR126" i="3"/>
  <c r="AQ126" i="3"/>
  <c r="AO127" i="3"/>
  <c r="AU128" i="8"/>
  <c r="AW128" i="8" s="1"/>
  <c r="AX126" i="8"/>
  <c r="AY126" i="8" s="1"/>
  <c r="BA126" i="8" s="1"/>
  <c r="AZ129" i="8"/>
  <c r="AO130" i="8"/>
  <c r="AP129" i="8"/>
  <c r="AR129" i="8"/>
  <c r="AV127" i="8"/>
  <c r="AW127" i="8"/>
  <c r="AZ126" i="2"/>
  <c r="AR126" i="2"/>
  <c r="AU126" i="2" s="1"/>
  <c r="AO127" i="2"/>
  <c r="AQ127" i="2" s="1"/>
  <c r="AP126" i="2"/>
  <c r="AV125" i="2"/>
  <c r="AW125" i="2"/>
  <c r="AU149" i="9" l="1"/>
  <c r="AW149" i="9" s="1"/>
  <c r="AO151" i="9"/>
  <c r="AZ150" i="9"/>
  <c r="AQ150" i="9"/>
  <c r="AP150" i="9"/>
  <c r="AR150" i="9"/>
  <c r="AU150" i="9" s="1"/>
  <c r="F80" i="3"/>
  <c r="E80" i="3"/>
  <c r="H80" i="3"/>
  <c r="G80" i="3"/>
  <c r="D80" i="3"/>
  <c r="I80" i="3"/>
  <c r="J80" i="3"/>
  <c r="K80" i="3"/>
  <c r="D86" i="3"/>
  <c r="E86" i="3"/>
  <c r="F86" i="3"/>
  <c r="G76" i="2"/>
  <c r="F76" i="2"/>
  <c r="E76" i="2"/>
  <c r="D76" i="2"/>
  <c r="H76" i="2"/>
  <c r="I76" i="2"/>
  <c r="J76" i="2"/>
  <c r="K76" i="2"/>
  <c r="D82" i="2"/>
  <c r="E82" i="2"/>
  <c r="F82" i="2"/>
  <c r="G82" i="2"/>
  <c r="AW125" i="3"/>
  <c r="AX125" i="3" s="1"/>
  <c r="AY125" i="3" s="1"/>
  <c r="BA125" i="3" s="1"/>
  <c r="G86" i="3" s="1"/>
  <c r="AX125" i="2"/>
  <c r="AY125" i="2" s="1"/>
  <c r="BA125" i="2" s="1"/>
  <c r="AZ127" i="3"/>
  <c r="AP127" i="3"/>
  <c r="AR127" i="3"/>
  <c r="AQ127" i="3"/>
  <c r="AO128" i="3"/>
  <c r="AU126" i="3"/>
  <c r="AV128" i="8"/>
  <c r="AX128" i="8" s="1"/>
  <c r="AY128" i="8" s="1"/>
  <c r="BA128" i="8" s="1"/>
  <c r="AX127" i="8"/>
  <c r="AY127" i="8" s="1"/>
  <c r="BA127" i="8" s="1"/>
  <c r="AZ130" i="8"/>
  <c r="AO131" i="8"/>
  <c r="AP130" i="8"/>
  <c r="AR130" i="8"/>
  <c r="AU129" i="8"/>
  <c r="AZ127" i="2"/>
  <c r="AR127" i="2"/>
  <c r="AU127" i="2" s="1"/>
  <c r="AO128" i="2"/>
  <c r="AQ128" i="2" s="1"/>
  <c r="AP127" i="2"/>
  <c r="AV126" i="2"/>
  <c r="AW126" i="2"/>
  <c r="AV149" i="9" l="1"/>
  <c r="AX149" i="9" s="1"/>
  <c r="AY149" i="9" s="1"/>
  <c r="BA149" i="9" s="1"/>
  <c r="AW150" i="9"/>
  <c r="AV150" i="9"/>
  <c r="AX150" i="9" s="1"/>
  <c r="AY150" i="9" s="1"/>
  <c r="BA150" i="9" s="1"/>
  <c r="AO152" i="9"/>
  <c r="AZ151" i="9"/>
  <c r="AQ151" i="9"/>
  <c r="AP151" i="9"/>
  <c r="AR151" i="9"/>
  <c r="AU151" i="9" s="1"/>
  <c r="AU127" i="3"/>
  <c r="AV127" i="3" s="1"/>
  <c r="AW126" i="3"/>
  <c r="AV126" i="3"/>
  <c r="AZ128" i="3"/>
  <c r="AP128" i="3"/>
  <c r="AR128" i="3"/>
  <c r="AQ128" i="3"/>
  <c r="AO129" i="3"/>
  <c r="AU130" i="8"/>
  <c r="AV130" i="8" s="1"/>
  <c r="AV129" i="8"/>
  <c r="AW129" i="8"/>
  <c r="AZ131" i="8"/>
  <c r="AO132" i="8"/>
  <c r="AP131" i="8"/>
  <c r="AR131" i="8"/>
  <c r="AX126" i="2"/>
  <c r="AY126" i="2" s="1"/>
  <c r="BA126" i="2" s="1"/>
  <c r="AZ128" i="2"/>
  <c r="AR128" i="2"/>
  <c r="AU128" i="2" s="1"/>
  <c r="AO129" i="2"/>
  <c r="AQ129" i="2" s="1"/>
  <c r="AP128" i="2"/>
  <c r="AV127" i="2"/>
  <c r="AW127" i="2"/>
  <c r="AW151" i="9" l="1"/>
  <c r="AV151" i="9"/>
  <c r="AX151" i="9" s="1"/>
  <c r="AY151" i="9" s="1"/>
  <c r="BA151" i="9" s="1"/>
  <c r="AO153" i="9"/>
  <c r="AZ152" i="9"/>
  <c r="AQ152" i="9"/>
  <c r="AP152" i="9"/>
  <c r="AR152" i="9"/>
  <c r="AU152" i="9" s="1"/>
  <c r="AU128" i="3"/>
  <c r="AV128" i="3" s="1"/>
  <c r="AX126" i="3"/>
  <c r="AY126" i="3" s="1"/>
  <c r="BA126" i="3" s="1"/>
  <c r="AW127" i="3"/>
  <c r="AX127" i="3" s="1"/>
  <c r="AY127" i="3" s="1"/>
  <c r="BA127" i="3" s="1"/>
  <c r="AZ129" i="3"/>
  <c r="AR129" i="3"/>
  <c r="AP129" i="3"/>
  <c r="AQ129" i="3"/>
  <c r="AO130" i="3"/>
  <c r="AX129" i="8"/>
  <c r="AY129" i="8" s="1"/>
  <c r="BA129" i="8" s="1"/>
  <c r="AW130" i="8"/>
  <c r="AX130" i="8" s="1"/>
  <c r="AY130" i="8" s="1"/>
  <c r="BA130" i="8" s="1"/>
  <c r="AU131" i="8"/>
  <c r="AV131" i="8" s="1"/>
  <c r="AZ132" i="8"/>
  <c r="AO133" i="8"/>
  <c r="AP132" i="8"/>
  <c r="AR132" i="8"/>
  <c r="AX127" i="2"/>
  <c r="AY127" i="2" s="1"/>
  <c r="BA127" i="2" s="1"/>
  <c r="AZ129" i="2"/>
  <c r="AO130" i="2"/>
  <c r="AQ130" i="2" s="1"/>
  <c r="AP129" i="2"/>
  <c r="AR129" i="2"/>
  <c r="AU129" i="2" s="1"/>
  <c r="AV128" i="2"/>
  <c r="AW128" i="2"/>
  <c r="AW152" i="9" l="1"/>
  <c r="AV152" i="9"/>
  <c r="AX152" i="9" s="1"/>
  <c r="AY152" i="9" s="1"/>
  <c r="BA152" i="9" s="1"/>
  <c r="AO154" i="9"/>
  <c r="AQ153" i="9"/>
  <c r="AZ153" i="9"/>
  <c r="AP153" i="9"/>
  <c r="AR153" i="9"/>
  <c r="AU153" i="9" s="1"/>
  <c r="AW128" i="3"/>
  <c r="AX128" i="3" s="1"/>
  <c r="AY128" i="3" s="1"/>
  <c r="BA128" i="3" s="1"/>
  <c r="AU129" i="3"/>
  <c r="AW129" i="3" s="1"/>
  <c r="AX128" i="2"/>
  <c r="AY128" i="2" s="1"/>
  <c r="BA128" i="2" s="1"/>
  <c r="AZ130" i="3"/>
  <c r="AP130" i="3"/>
  <c r="AR130" i="3"/>
  <c r="AQ130" i="3"/>
  <c r="AO131" i="3"/>
  <c r="AW131" i="8"/>
  <c r="AX131" i="8" s="1"/>
  <c r="AY131" i="8" s="1"/>
  <c r="BA131" i="8" s="1"/>
  <c r="AU132" i="8"/>
  <c r="AV132" i="8" s="1"/>
  <c r="AZ133" i="8"/>
  <c r="AO134" i="8"/>
  <c r="AP133" i="8"/>
  <c r="AR133" i="8"/>
  <c r="AZ130" i="2"/>
  <c r="AR130" i="2"/>
  <c r="AU130" i="2" s="1"/>
  <c r="AO131" i="2"/>
  <c r="AQ131" i="2" s="1"/>
  <c r="AP130" i="2"/>
  <c r="AV129" i="2"/>
  <c r="AW129" i="2"/>
  <c r="AW153" i="9" l="1"/>
  <c r="AV153" i="9"/>
  <c r="AX153" i="9" s="1"/>
  <c r="AY153" i="9" s="1"/>
  <c r="BA153" i="9" s="1"/>
  <c r="AO155" i="9"/>
  <c r="AZ154" i="9"/>
  <c r="AQ154" i="9"/>
  <c r="AP154" i="9"/>
  <c r="AR154" i="9"/>
  <c r="AV129" i="3"/>
  <c r="AX129" i="3" s="1"/>
  <c r="AY129" i="3" s="1"/>
  <c r="BA129" i="3" s="1"/>
  <c r="AX129" i="2"/>
  <c r="AY129" i="2" s="1"/>
  <c r="BA129" i="2" s="1"/>
  <c r="AZ131" i="3"/>
  <c r="AP131" i="3"/>
  <c r="AR131" i="3"/>
  <c r="AQ131" i="3"/>
  <c r="AO132" i="3"/>
  <c r="AU130" i="3"/>
  <c r="AW132" i="8"/>
  <c r="AX132" i="8" s="1"/>
  <c r="AY132" i="8" s="1"/>
  <c r="BA132" i="8" s="1"/>
  <c r="AU133" i="8"/>
  <c r="AV133" i="8" s="1"/>
  <c r="AZ134" i="8"/>
  <c r="AO135" i="8"/>
  <c r="AP134" i="8"/>
  <c r="AR134" i="8"/>
  <c r="AZ131" i="2"/>
  <c r="AR131" i="2"/>
  <c r="AU131" i="2" s="1"/>
  <c r="AO132" i="2"/>
  <c r="AQ132" i="2" s="1"/>
  <c r="AP131" i="2"/>
  <c r="AV130" i="2"/>
  <c r="AW130" i="2"/>
  <c r="AU154" i="9" l="1"/>
  <c r="AW154" i="9" s="1"/>
  <c r="AO156" i="9"/>
  <c r="AZ155" i="9"/>
  <c r="AQ155" i="9"/>
  <c r="AP155" i="9"/>
  <c r="AR155" i="9"/>
  <c r="AU155" i="9" s="1"/>
  <c r="AU131" i="3"/>
  <c r="AV131" i="3" s="1"/>
  <c r="AV130" i="3"/>
  <c r="AW130" i="3"/>
  <c r="AZ132" i="3"/>
  <c r="AR132" i="3"/>
  <c r="AP132" i="3"/>
  <c r="AQ132" i="3"/>
  <c r="AO133" i="3"/>
  <c r="AW133" i="8"/>
  <c r="AX133" i="8" s="1"/>
  <c r="AY133" i="8" s="1"/>
  <c r="BA133" i="8" s="1"/>
  <c r="AU134" i="8"/>
  <c r="AV134" i="8" s="1"/>
  <c r="AZ135" i="8"/>
  <c r="AO136" i="8"/>
  <c r="AP135" i="8"/>
  <c r="AR135" i="8"/>
  <c r="AX130" i="2"/>
  <c r="AY130" i="2" s="1"/>
  <c r="BA130" i="2" s="1"/>
  <c r="AZ132" i="2"/>
  <c r="AR132" i="2"/>
  <c r="AU132" i="2" s="1"/>
  <c r="AO133" i="2"/>
  <c r="AQ133" i="2" s="1"/>
  <c r="AP132" i="2"/>
  <c r="AV131" i="2"/>
  <c r="AW131" i="2"/>
  <c r="AV154" i="9" l="1"/>
  <c r="AX154" i="9" s="1"/>
  <c r="AY154" i="9" s="1"/>
  <c r="BA154" i="9" s="1"/>
  <c r="AW155" i="9"/>
  <c r="AV155" i="9"/>
  <c r="AX155" i="9" s="1"/>
  <c r="AY155" i="9" s="1"/>
  <c r="BA155" i="9" s="1"/>
  <c r="AO157" i="9"/>
  <c r="AZ156" i="9"/>
  <c r="AQ156" i="9"/>
  <c r="AP156" i="9"/>
  <c r="AR156" i="9"/>
  <c r="AU156" i="9" s="1"/>
  <c r="AW131" i="3"/>
  <c r="AX131" i="3" s="1"/>
  <c r="AY131" i="3" s="1"/>
  <c r="BA131" i="3" s="1"/>
  <c r="AU132" i="3"/>
  <c r="AW132" i="3" s="1"/>
  <c r="AX130" i="3"/>
  <c r="AY130" i="3" s="1"/>
  <c r="BA130" i="3" s="1"/>
  <c r="AZ133" i="3"/>
  <c r="AR133" i="3"/>
  <c r="AP133" i="3"/>
  <c r="AQ133" i="3"/>
  <c r="AO134" i="3"/>
  <c r="AW134" i="8"/>
  <c r="AX134" i="8" s="1"/>
  <c r="AY134" i="8" s="1"/>
  <c r="BA134" i="8" s="1"/>
  <c r="AU135" i="8"/>
  <c r="AV135" i="8" s="1"/>
  <c r="AZ136" i="8"/>
  <c r="AO137" i="8"/>
  <c r="AP136" i="8"/>
  <c r="AR136" i="8"/>
  <c r="AZ133" i="2"/>
  <c r="AO134" i="2"/>
  <c r="AQ134" i="2" s="1"/>
  <c r="AP133" i="2"/>
  <c r="AR133" i="2"/>
  <c r="AU133" i="2" s="1"/>
  <c r="AV132" i="2"/>
  <c r="AW132" i="2"/>
  <c r="AX131" i="2"/>
  <c r="AY131" i="2" s="1"/>
  <c r="BA131" i="2" s="1"/>
  <c r="AW156" i="9" l="1"/>
  <c r="AV156" i="9"/>
  <c r="AX156" i="9" s="1"/>
  <c r="AY156" i="9" s="1"/>
  <c r="BA156" i="9" s="1"/>
  <c r="AZ157" i="9"/>
  <c r="AO158" i="9"/>
  <c r="AQ157" i="9"/>
  <c r="AP157" i="9"/>
  <c r="AR157" i="9"/>
  <c r="AU133" i="3"/>
  <c r="AV133" i="3" s="1"/>
  <c r="AV132" i="3"/>
  <c r="AX132" i="3" s="1"/>
  <c r="AY132" i="3" s="1"/>
  <c r="BA132" i="3" s="1"/>
  <c r="AX132" i="2"/>
  <c r="AY132" i="2" s="1"/>
  <c r="BA132" i="2" s="1"/>
  <c r="AZ134" i="3"/>
  <c r="AR134" i="3"/>
  <c r="AP134" i="3"/>
  <c r="AQ134" i="3"/>
  <c r="AO135" i="3"/>
  <c r="AU136" i="8"/>
  <c r="AV136" i="8" s="1"/>
  <c r="AW135" i="8"/>
  <c r="AX135" i="8" s="1"/>
  <c r="AY135" i="8" s="1"/>
  <c r="BA135" i="8" s="1"/>
  <c r="AZ137" i="8"/>
  <c r="AO138" i="8"/>
  <c r="AP137" i="8"/>
  <c r="AR137" i="8"/>
  <c r="AZ134" i="2"/>
  <c r="AR134" i="2"/>
  <c r="AU134" i="2" s="1"/>
  <c r="AO135" i="2"/>
  <c r="AQ135" i="2" s="1"/>
  <c r="AP134" i="2"/>
  <c r="AV133" i="2"/>
  <c r="AW133" i="2"/>
  <c r="AU157" i="9" l="1"/>
  <c r="AV157" i="9" s="1"/>
  <c r="AZ158" i="9"/>
  <c r="AQ158" i="9"/>
  <c r="AO159" i="9"/>
  <c r="AP158" i="9"/>
  <c r="AR158" i="9"/>
  <c r="AU158" i="9" s="1"/>
  <c r="AW133" i="3"/>
  <c r="AX133" i="3" s="1"/>
  <c r="AY133" i="3" s="1"/>
  <c r="BA133" i="3" s="1"/>
  <c r="AU134" i="3"/>
  <c r="AW134" i="3" s="1"/>
  <c r="AZ135" i="3"/>
  <c r="AR135" i="3"/>
  <c r="AP135" i="3"/>
  <c r="AQ135" i="3"/>
  <c r="AO136" i="3"/>
  <c r="AW136" i="8"/>
  <c r="AX136" i="8" s="1"/>
  <c r="AY136" i="8" s="1"/>
  <c r="BA136" i="8" s="1"/>
  <c r="AU137" i="8"/>
  <c r="AW137" i="8" s="1"/>
  <c r="AZ138" i="8"/>
  <c r="AO139" i="8"/>
  <c r="AP138" i="8"/>
  <c r="AR138" i="8"/>
  <c r="AX133" i="2"/>
  <c r="AY133" i="2" s="1"/>
  <c r="BA133" i="2" s="1"/>
  <c r="AO136" i="2"/>
  <c r="AQ136" i="2" s="1"/>
  <c r="AZ135" i="2"/>
  <c r="AR135" i="2"/>
  <c r="AU135" i="2" s="1"/>
  <c r="AP135" i="2"/>
  <c r="AV134" i="2"/>
  <c r="AW134" i="2"/>
  <c r="AW157" i="9" l="1"/>
  <c r="AX157" i="9" s="1"/>
  <c r="AY157" i="9" s="1"/>
  <c r="BA157" i="9" s="1"/>
  <c r="AV158" i="9"/>
  <c r="AW158" i="9"/>
  <c r="AZ159" i="9"/>
  <c r="AQ159" i="9"/>
  <c r="AO160" i="9"/>
  <c r="AP159" i="9"/>
  <c r="AR159" i="9"/>
  <c r="AU135" i="3"/>
  <c r="AV135" i="3" s="1"/>
  <c r="AV134" i="3"/>
  <c r="AX134" i="3" s="1"/>
  <c r="AY134" i="3" s="1"/>
  <c r="BA134" i="3" s="1"/>
  <c r="AX134" i="2"/>
  <c r="AY134" i="2" s="1"/>
  <c r="BA134" i="2" s="1"/>
  <c r="AZ136" i="3"/>
  <c r="AO137" i="3"/>
  <c r="AP136" i="3"/>
  <c r="AR136" i="3"/>
  <c r="AQ136" i="3"/>
  <c r="AV137" i="8"/>
  <c r="AX137" i="8" s="1"/>
  <c r="AY137" i="8" s="1"/>
  <c r="BA137" i="8" s="1"/>
  <c r="AU138" i="8"/>
  <c r="AV138" i="8" s="1"/>
  <c r="AZ139" i="8"/>
  <c r="AO140" i="8"/>
  <c r="AP139" i="8"/>
  <c r="AR139" i="8"/>
  <c r="AV135" i="2"/>
  <c r="AW135" i="2"/>
  <c r="AO137" i="2"/>
  <c r="AQ137" i="2" s="1"/>
  <c r="AZ136" i="2"/>
  <c r="AR136" i="2"/>
  <c r="AU136" i="2" s="1"/>
  <c r="AP136" i="2"/>
  <c r="AX158" i="9" l="1"/>
  <c r="AY158" i="9" s="1"/>
  <c r="BA158" i="9" s="1"/>
  <c r="AU159" i="9"/>
  <c r="AV159" i="9" s="1"/>
  <c r="AZ160" i="9"/>
  <c r="AQ160" i="9"/>
  <c r="AO161" i="9"/>
  <c r="AP160" i="9"/>
  <c r="AR160" i="9"/>
  <c r="AU160" i="9" s="1"/>
  <c r="AW135" i="3"/>
  <c r="AX135" i="3" s="1"/>
  <c r="AY135" i="3" s="1"/>
  <c r="BA135" i="3" s="1"/>
  <c r="AO138" i="3"/>
  <c r="AZ137" i="3"/>
  <c r="AR137" i="3"/>
  <c r="AP137" i="3"/>
  <c r="AQ137" i="3"/>
  <c r="AU136" i="3"/>
  <c r="AW138" i="8"/>
  <c r="AX138" i="8" s="1"/>
  <c r="AY138" i="8" s="1"/>
  <c r="BA138" i="8" s="1"/>
  <c r="AU139" i="8"/>
  <c r="AV139" i="8" s="1"/>
  <c r="AO141" i="8"/>
  <c r="AZ140" i="8"/>
  <c r="AP140" i="8"/>
  <c r="AR140" i="8"/>
  <c r="AV136" i="2"/>
  <c r="AW136" i="2"/>
  <c r="AO138" i="2"/>
  <c r="AQ138" i="2" s="1"/>
  <c r="AZ137" i="2"/>
  <c r="AP137" i="2"/>
  <c r="AR137" i="2"/>
  <c r="AX135" i="2"/>
  <c r="AY135" i="2" s="1"/>
  <c r="BA135" i="2" s="1"/>
  <c r="AW159" i="9" l="1"/>
  <c r="AX159" i="9" s="1"/>
  <c r="AY159" i="9" s="1"/>
  <c r="BA159" i="9" s="1"/>
  <c r="AV160" i="9"/>
  <c r="AW160" i="9"/>
  <c r="AZ161" i="9"/>
  <c r="AQ161" i="9"/>
  <c r="AO162" i="9"/>
  <c r="AP161" i="9"/>
  <c r="AR161" i="9"/>
  <c r="AU161" i="9" s="1"/>
  <c r="AX136" i="2"/>
  <c r="AY136" i="2" s="1"/>
  <c r="BA136" i="2" s="1"/>
  <c r="AV136" i="3"/>
  <c r="AW136" i="3"/>
  <c r="AU137" i="3"/>
  <c r="AO139" i="3"/>
  <c r="AZ138" i="3"/>
  <c r="AP138" i="3"/>
  <c r="AR138" i="3"/>
  <c r="AQ138" i="3"/>
  <c r="AW139" i="8"/>
  <c r="AX139" i="8" s="1"/>
  <c r="AY139" i="8" s="1"/>
  <c r="BA139" i="8" s="1"/>
  <c r="AU140" i="8"/>
  <c r="AW140" i="8" s="1"/>
  <c r="AO142" i="8"/>
  <c r="AZ141" i="8"/>
  <c r="AP141" i="8"/>
  <c r="AR141" i="8"/>
  <c r="AU137" i="2"/>
  <c r="AO139" i="2"/>
  <c r="AQ139" i="2" s="1"/>
  <c r="AZ138" i="2"/>
  <c r="AR138" i="2"/>
  <c r="AU138" i="2" s="1"/>
  <c r="AP138" i="2"/>
  <c r="AX160" i="9" l="1"/>
  <c r="AY160" i="9" s="1"/>
  <c r="BA160" i="9" s="1"/>
  <c r="AV161" i="9"/>
  <c r="AW161" i="9"/>
  <c r="AZ162" i="9"/>
  <c r="AQ162" i="9"/>
  <c r="AO163" i="9"/>
  <c r="AP162" i="9"/>
  <c r="AR162" i="9"/>
  <c r="AU162" i="9" s="1"/>
  <c r="AU138" i="3"/>
  <c r="AV138" i="3" s="1"/>
  <c r="AX136" i="3"/>
  <c r="AY136" i="3" s="1"/>
  <c r="BA136" i="3" s="1"/>
  <c r="AZ139" i="3"/>
  <c r="AP139" i="3"/>
  <c r="AR139" i="3"/>
  <c r="AQ139" i="3"/>
  <c r="AO140" i="3"/>
  <c r="AW138" i="3"/>
  <c r="AV137" i="3"/>
  <c r="AW137" i="3"/>
  <c r="AU141" i="8"/>
  <c r="AW141" i="8" s="1"/>
  <c r="AV140" i="8"/>
  <c r="AX140" i="8" s="1"/>
  <c r="AY140" i="8" s="1"/>
  <c r="BA140" i="8" s="1"/>
  <c r="AO143" i="8"/>
  <c r="AZ142" i="8"/>
  <c r="AP142" i="8"/>
  <c r="AR142" i="8"/>
  <c r="AV138" i="2"/>
  <c r="AW138" i="2"/>
  <c r="AO140" i="2"/>
  <c r="AQ140" i="2" s="1"/>
  <c r="AZ139" i="2"/>
  <c r="AR139" i="2"/>
  <c r="AU139" i="2" s="1"/>
  <c r="AP139" i="2"/>
  <c r="AV137" i="2"/>
  <c r="AW137" i="2"/>
  <c r="AX161" i="9" l="1"/>
  <c r="AY161" i="9" s="1"/>
  <c r="BA161" i="9" s="1"/>
  <c r="AV162" i="9"/>
  <c r="AW162" i="9"/>
  <c r="AZ163" i="9"/>
  <c r="AQ163" i="9"/>
  <c r="AO164" i="9"/>
  <c r="AP163" i="9"/>
  <c r="AR163" i="9"/>
  <c r="AU163" i="9" s="1"/>
  <c r="AX137" i="3"/>
  <c r="AY137" i="3" s="1"/>
  <c r="BA137" i="3" s="1"/>
  <c r="AU139" i="3"/>
  <c r="AX138" i="2"/>
  <c r="AY138" i="2" s="1"/>
  <c r="BA138" i="2" s="1"/>
  <c r="AX138" i="3"/>
  <c r="AY138" i="3" s="1"/>
  <c r="BA138" i="3" s="1"/>
  <c r="AP140" i="3"/>
  <c r="AR140" i="3"/>
  <c r="AZ140" i="3"/>
  <c r="AO141" i="3"/>
  <c r="AQ140" i="3"/>
  <c r="AU142" i="8"/>
  <c r="AW142" i="8" s="1"/>
  <c r="AV141" i="8"/>
  <c r="AX141" i="8" s="1"/>
  <c r="AY141" i="8" s="1"/>
  <c r="BA141" i="8" s="1"/>
  <c r="AO144" i="8"/>
  <c r="AZ143" i="8"/>
  <c r="AP143" i="8"/>
  <c r="AR143" i="8"/>
  <c r="AX137" i="2"/>
  <c r="AY137" i="2" s="1"/>
  <c r="BA137" i="2" s="1"/>
  <c r="AP140" i="2"/>
  <c r="AO141" i="2"/>
  <c r="AQ141" i="2" s="1"/>
  <c r="AZ140" i="2"/>
  <c r="AR140" i="2"/>
  <c r="AV139" i="2"/>
  <c r="AW139" i="2"/>
  <c r="AX162" i="9" l="1"/>
  <c r="AY162" i="9" s="1"/>
  <c r="BA162" i="9" s="1"/>
  <c r="AV163" i="9"/>
  <c r="AW163" i="9"/>
  <c r="AZ164" i="9"/>
  <c r="AQ164" i="9"/>
  <c r="AO165" i="9"/>
  <c r="AP164" i="9"/>
  <c r="AR164" i="9"/>
  <c r="AU164" i="9" s="1"/>
  <c r="AU140" i="3"/>
  <c r="AP141" i="3"/>
  <c r="AO142" i="3"/>
  <c r="AZ141" i="3"/>
  <c r="AQ141" i="3"/>
  <c r="AR141" i="3"/>
  <c r="AW139" i="3"/>
  <c r="AV139" i="3"/>
  <c r="AU143" i="8"/>
  <c r="AV143" i="8" s="1"/>
  <c r="AV142" i="8"/>
  <c r="AX142" i="8" s="1"/>
  <c r="AY142" i="8" s="1"/>
  <c r="BA142" i="8" s="1"/>
  <c r="AO145" i="8"/>
  <c r="AZ144" i="8"/>
  <c r="AP144" i="8"/>
  <c r="AR144" i="8"/>
  <c r="AX139" i="2"/>
  <c r="AY139" i="2" s="1"/>
  <c r="BA139" i="2" s="1"/>
  <c r="AP141" i="2"/>
  <c r="AO142" i="2"/>
  <c r="AQ142" i="2" s="1"/>
  <c r="AZ141" i="2"/>
  <c r="AR141" i="2"/>
  <c r="AU141" i="2" s="1"/>
  <c r="AU140" i="2"/>
  <c r="AX163" i="9" l="1"/>
  <c r="AY163" i="9" s="1"/>
  <c r="BA163" i="9" s="1"/>
  <c r="AV164" i="9"/>
  <c r="AW164" i="9"/>
  <c r="AZ165" i="9"/>
  <c r="AQ165" i="9"/>
  <c r="AO166" i="9"/>
  <c r="AP165" i="9"/>
  <c r="AR165" i="9"/>
  <c r="AU165" i="9" s="1"/>
  <c r="AX139" i="3"/>
  <c r="AY139" i="3" s="1"/>
  <c r="BA139" i="3" s="1"/>
  <c r="AU141" i="3"/>
  <c r="AV141" i="3" s="1"/>
  <c r="AZ142" i="3"/>
  <c r="AO143" i="3"/>
  <c r="AR142" i="3"/>
  <c r="AP142" i="3"/>
  <c r="AQ142" i="3"/>
  <c r="AW140" i="3"/>
  <c r="AV140" i="3"/>
  <c r="AW143" i="8"/>
  <c r="AX143" i="8" s="1"/>
  <c r="AY143" i="8" s="1"/>
  <c r="BA143" i="8" s="1"/>
  <c r="AU144" i="8"/>
  <c r="AV144" i="8" s="1"/>
  <c r="AO146" i="8"/>
  <c r="AZ145" i="8"/>
  <c r="AP145" i="8"/>
  <c r="AR145" i="8"/>
  <c r="AV141" i="2"/>
  <c r="AW141" i="2"/>
  <c r="AV140" i="2"/>
  <c r="AW140" i="2"/>
  <c r="AP142" i="2"/>
  <c r="AO143" i="2"/>
  <c r="AQ143" i="2" s="1"/>
  <c r="AZ142" i="2"/>
  <c r="AR142" i="2"/>
  <c r="AU142" i="2" s="1"/>
  <c r="AX164" i="9" l="1"/>
  <c r="AY164" i="9" s="1"/>
  <c r="BA164" i="9" s="1"/>
  <c r="AV165" i="9"/>
  <c r="AW165" i="9"/>
  <c r="AZ166" i="9"/>
  <c r="AQ166" i="9"/>
  <c r="AO167" i="9"/>
  <c r="AP166" i="9"/>
  <c r="AR166" i="9"/>
  <c r="AU166" i="9" s="1"/>
  <c r="AW141" i="3"/>
  <c r="AX141" i="3" s="1"/>
  <c r="AY141" i="3" s="1"/>
  <c r="BA141" i="3" s="1"/>
  <c r="AR143" i="3"/>
  <c r="AQ143" i="3"/>
  <c r="AP143" i="3"/>
  <c r="AO144" i="3"/>
  <c r="AZ143" i="3"/>
  <c r="AX140" i="3"/>
  <c r="AY140" i="3" s="1"/>
  <c r="BA140" i="3" s="1"/>
  <c r="AU142" i="3"/>
  <c r="AW144" i="8"/>
  <c r="AX144" i="8" s="1"/>
  <c r="AY144" i="8" s="1"/>
  <c r="BA144" i="8" s="1"/>
  <c r="AU145" i="8"/>
  <c r="AV145" i="8" s="1"/>
  <c r="AO147" i="8"/>
  <c r="AZ146" i="8"/>
  <c r="AP146" i="8"/>
  <c r="AR146" i="8"/>
  <c r="AX141" i="2"/>
  <c r="AY141" i="2" s="1"/>
  <c r="BA141" i="2" s="1"/>
  <c r="AX140" i="2"/>
  <c r="AY140" i="2" s="1"/>
  <c r="BA140" i="2" s="1"/>
  <c r="AV142" i="2"/>
  <c r="AW142" i="2"/>
  <c r="AZ143" i="2"/>
  <c r="AP143" i="2"/>
  <c r="AR143" i="2"/>
  <c r="AU143" i="2" s="1"/>
  <c r="AO144" i="2"/>
  <c r="AQ144" i="2" s="1"/>
  <c r="AX165" i="9" l="1"/>
  <c r="AY165" i="9" s="1"/>
  <c r="BA165" i="9" s="1"/>
  <c r="AV166" i="9"/>
  <c r="AW166" i="9"/>
  <c r="AZ167" i="9"/>
  <c r="AQ167" i="9"/>
  <c r="AO168" i="9"/>
  <c r="AP167" i="9"/>
  <c r="AR167" i="9"/>
  <c r="AU167" i="9" s="1"/>
  <c r="AU143" i="3"/>
  <c r="AW143" i="3" s="1"/>
  <c r="AV142" i="3"/>
  <c r="AW142" i="3"/>
  <c r="AR144" i="3"/>
  <c r="AZ144" i="3"/>
  <c r="AO145" i="3"/>
  <c r="AP144" i="3"/>
  <c r="AQ144" i="3"/>
  <c r="AW145" i="8"/>
  <c r="AX145" i="8" s="1"/>
  <c r="AY145" i="8" s="1"/>
  <c r="BA145" i="8" s="1"/>
  <c r="AU146" i="8"/>
  <c r="AV146" i="8" s="1"/>
  <c r="AO148" i="8"/>
  <c r="AZ147" i="8"/>
  <c r="AP147" i="8"/>
  <c r="AR147" i="8"/>
  <c r="AX142" i="2"/>
  <c r="AY142" i="2" s="1"/>
  <c r="BA142" i="2" s="1"/>
  <c r="AV143" i="2"/>
  <c r="AW143" i="2"/>
  <c r="AZ144" i="2"/>
  <c r="AR144" i="2"/>
  <c r="AU144" i="2" s="1"/>
  <c r="AO145" i="2"/>
  <c r="AQ145" i="2" s="1"/>
  <c r="AP144" i="2"/>
  <c r="AX166" i="9" l="1"/>
  <c r="AY166" i="9" s="1"/>
  <c r="BA166" i="9" s="1"/>
  <c r="AV167" i="9"/>
  <c r="AW167" i="9"/>
  <c r="AQ168" i="9"/>
  <c r="AZ168" i="9"/>
  <c r="AO169" i="9"/>
  <c r="AP168" i="9"/>
  <c r="AR168" i="9"/>
  <c r="AU168" i="9" s="1"/>
  <c r="AV143" i="3"/>
  <c r="AX143" i="3" s="1"/>
  <c r="AY143" i="3" s="1"/>
  <c r="BA143" i="3" s="1"/>
  <c r="AX142" i="3"/>
  <c r="AY142" i="3" s="1"/>
  <c r="BA142" i="3" s="1"/>
  <c r="AU144" i="3"/>
  <c r="AX143" i="2"/>
  <c r="AY143" i="2" s="1"/>
  <c r="BA143" i="2" s="1"/>
  <c r="AR145" i="3"/>
  <c r="AQ145" i="3"/>
  <c r="AP145" i="3"/>
  <c r="AO146" i="3"/>
  <c r="AZ145" i="3"/>
  <c r="AW146" i="8"/>
  <c r="AX146" i="8" s="1"/>
  <c r="AY146" i="8" s="1"/>
  <c r="BA146" i="8" s="1"/>
  <c r="AU147" i="8"/>
  <c r="AW147" i="8" s="1"/>
  <c r="AO149" i="8"/>
  <c r="AZ148" i="8"/>
  <c r="AP148" i="8"/>
  <c r="AR148" i="8"/>
  <c r="AV144" i="2"/>
  <c r="AW144" i="2"/>
  <c r="AZ145" i="2"/>
  <c r="AO146" i="2"/>
  <c r="AQ146" i="2" s="1"/>
  <c r="AP145" i="2"/>
  <c r="AR145" i="2"/>
  <c r="AU145" i="2" s="1"/>
  <c r="AX167" i="9" l="1"/>
  <c r="AY167" i="9" s="1"/>
  <c r="BA167" i="9" s="1"/>
  <c r="AV168" i="9"/>
  <c r="AW168" i="9"/>
  <c r="AZ169" i="9"/>
  <c r="AQ169" i="9"/>
  <c r="AO170" i="9"/>
  <c r="AP169" i="9"/>
  <c r="AR169" i="9"/>
  <c r="AU169" i="9" s="1"/>
  <c r="AU145" i="3"/>
  <c r="AW145" i="3" s="1"/>
  <c r="AP146" i="3"/>
  <c r="AR146" i="3"/>
  <c r="AQ146" i="3"/>
  <c r="AZ146" i="3"/>
  <c r="AO147" i="3"/>
  <c r="AW144" i="3"/>
  <c r="AV144" i="3"/>
  <c r="AU148" i="8"/>
  <c r="AW148" i="8" s="1"/>
  <c r="AV147" i="8"/>
  <c r="AX147" i="8" s="1"/>
  <c r="AY147" i="8" s="1"/>
  <c r="BA147" i="8" s="1"/>
  <c r="AO150" i="8"/>
  <c r="AZ149" i="8"/>
  <c r="AP149" i="8"/>
  <c r="AR149" i="8"/>
  <c r="AX144" i="2"/>
  <c r="AY144" i="2" s="1"/>
  <c r="BA144" i="2" s="1"/>
  <c r="AZ146" i="2"/>
  <c r="AO147" i="2"/>
  <c r="AQ147" i="2" s="1"/>
  <c r="AP146" i="2"/>
  <c r="AR146" i="2"/>
  <c r="AU146" i="2" s="1"/>
  <c r="AV145" i="2"/>
  <c r="AW145" i="2"/>
  <c r="AX168" i="9" l="1"/>
  <c r="AY168" i="9" s="1"/>
  <c r="BA168" i="9" s="1"/>
  <c r="AV169" i="9"/>
  <c r="AW169" i="9"/>
  <c r="AZ170" i="9"/>
  <c r="AQ170" i="9"/>
  <c r="AO171" i="9"/>
  <c r="AP170" i="9"/>
  <c r="AR170" i="9"/>
  <c r="AU170" i="9" s="1"/>
  <c r="AV145" i="3"/>
  <c r="AX145" i="3" s="1"/>
  <c r="AY145" i="3" s="1"/>
  <c r="BA145" i="3" s="1"/>
  <c r="AU146" i="3"/>
  <c r="AW146" i="3" s="1"/>
  <c r="AX144" i="3"/>
  <c r="AY144" i="3" s="1"/>
  <c r="BA144" i="3" s="1"/>
  <c r="AQ147" i="3"/>
  <c r="AO148" i="3"/>
  <c r="AP147" i="3"/>
  <c r="AZ147" i="3"/>
  <c r="AR147" i="3"/>
  <c r="AU147" i="3" s="1"/>
  <c r="AU149" i="8"/>
  <c r="AW149" i="8" s="1"/>
  <c r="AV148" i="8"/>
  <c r="AX148" i="8" s="1"/>
  <c r="AY148" i="8" s="1"/>
  <c r="BA148" i="8" s="1"/>
  <c r="AO151" i="8"/>
  <c r="AZ150" i="8"/>
  <c r="AP150" i="8"/>
  <c r="AR150" i="8"/>
  <c r="AX145" i="2"/>
  <c r="AY145" i="2" s="1"/>
  <c r="BA145" i="2" s="1"/>
  <c r="AZ147" i="2"/>
  <c r="AR147" i="2"/>
  <c r="AU147" i="2" s="1"/>
  <c r="AO148" i="2"/>
  <c r="AQ148" i="2" s="1"/>
  <c r="AP147" i="2"/>
  <c r="AV146" i="2"/>
  <c r="AW146" i="2"/>
  <c r="AX169" i="9" l="1"/>
  <c r="AY169" i="9" s="1"/>
  <c r="BA169" i="9" s="1"/>
  <c r="AV170" i="9"/>
  <c r="AW170" i="9"/>
  <c r="AZ171" i="9"/>
  <c r="AQ171" i="9"/>
  <c r="AO172" i="9"/>
  <c r="AP171" i="9"/>
  <c r="AR171" i="9"/>
  <c r="AU171" i="9" s="1"/>
  <c r="AV146" i="3"/>
  <c r="AX146" i="3" s="1"/>
  <c r="AY146" i="3" s="1"/>
  <c r="BA146" i="3" s="1"/>
  <c r="AZ148" i="3"/>
  <c r="AO149" i="3"/>
  <c r="AP148" i="3"/>
  <c r="AQ148" i="3"/>
  <c r="AR148" i="3"/>
  <c r="AW147" i="3"/>
  <c r="AV147" i="3"/>
  <c r="AU150" i="8"/>
  <c r="AW150" i="8" s="1"/>
  <c r="AV149" i="8"/>
  <c r="AX149" i="8" s="1"/>
  <c r="AY149" i="8" s="1"/>
  <c r="BA149" i="8" s="1"/>
  <c r="AZ151" i="8"/>
  <c r="AO152" i="8"/>
  <c r="AP151" i="8"/>
  <c r="AR151" i="8"/>
  <c r="AX146" i="2"/>
  <c r="AY146" i="2" s="1"/>
  <c r="BA146" i="2" s="1"/>
  <c r="AZ148" i="2"/>
  <c r="AR148" i="2"/>
  <c r="AU148" i="2" s="1"/>
  <c r="AO149" i="2"/>
  <c r="AQ149" i="2" s="1"/>
  <c r="AP148" i="2"/>
  <c r="AV147" i="2"/>
  <c r="AW147" i="2"/>
  <c r="AX170" i="9" l="1"/>
  <c r="AY170" i="9" s="1"/>
  <c r="BA170" i="9" s="1"/>
  <c r="AV171" i="9"/>
  <c r="AW171" i="9"/>
  <c r="AZ172" i="9"/>
  <c r="AQ172" i="9"/>
  <c r="AO173" i="9"/>
  <c r="AP172" i="9"/>
  <c r="AR172" i="9"/>
  <c r="AU172" i="9" s="1"/>
  <c r="AU148" i="3"/>
  <c r="AV148" i="3" s="1"/>
  <c r="AX147" i="3"/>
  <c r="AY147" i="3" s="1"/>
  <c r="BA147" i="3" s="1"/>
  <c r="AR149" i="3"/>
  <c r="AZ149" i="3"/>
  <c r="AQ149" i="3"/>
  <c r="AP149" i="3"/>
  <c r="AO150" i="3"/>
  <c r="AU151" i="8"/>
  <c r="AV151" i="8" s="1"/>
  <c r="AV150" i="8"/>
  <c r="AX150" i="8" s="1"/>
  <c r="AY150" i="8" s="1"/>
  <c r="BA150" i="8" s="1"/>
  <c r="AZ152" i="8"/>
  <c r="AO153" i="8"/>
  <c r="AP152" i="8"/>
  <c r="AR152" i="8"/>
  <c r="AX147" i="2"/>
  <c r="AY147" i="2" s="1"/>
  <c r="BA147" i="2" s="1"/>
  <c r="AZ149" i="2"/>
  <c r="AO150" i="2"/>
  <c r="AQ150" i="2" s="1"/>
  <c r="AP149" i="2"/>
  <c r="AR149" i="2"/>
  <c r="AU149" i="2" s="1"/>
  <c r="AV148" i="2"/>
  <c r="AW148" i="2"/>
  <c r="AX171" i="9" l="1"/>
  <c r="AY171" i="9" s="1"/>
  <c r="BA171" i="9" s="1"/>
  <c r="AV172" i="9"/>
  <c r="AW172" i="9"/>
  <c r="AO174" i="9"/>
  <c r="AQ173" i="9"/>
  <c r="AZ173" i="9"/>
  <c r="AP173" i="9"/>
  <c r="AR173" i="9"/>
  <c r="AU173" i="9" s="1"/>
  <c r="AW148" i="3"/>
  <c r="AX148" i="3" s="1"/>
  <c r="AY148" i="3" s="1"/>
  <c r="BA148" i="3" s="1"/>
  <c r="AX148" i="2"/>
  <c r="AY148" i="2" s="1"/>
  <c r="BA148" i="2" s="1"/>
  <c r="AZ150" i="3"/>
  <c r="AO151" i="3"/>
  <c r="AP150" i="3"/>
  <c r="AR150" i="3"/>
  <c r="AQ150" i="3"/>
  <c r="AU149" i="3"/>
  <c r="AW151" i="8"/>
  <c r="AX151" i="8" s="1"/>
  <c r="AY151" i="8" s="1"/>
  <c r="BA151" i="8" s="1"/>
  <c r="AU152" i="8"/>
  <c r="AV152" i="8" s="1"/>
  <c r="AZ153" i="8"/>
  <c r="AO154" i="8"/>
  <c r="AP153" i="8"/>
  <c r="AR153" i="8"/>
  <c r="AZ150" i="2"/>
  <c r="AR150" i="2"/>
  <c r="AU150" i="2" s="1"/>
  <c r="AO151" i="2"/>
  <c r="AQ151" i="2" s="1"/>
  <c r="AP150" i="2"/>
  <c r="AV149" i="2"/>
  <c r="AW149" i="2"/>
  <c r="AX172" i="9" l="1"/>
  <c r="AY172" i="9" s="1"/>
  <c r="BA172" i="9" s="1"/>
  <c r="AV173" i="9"/>
  <c r="AW173" i="9"/>
  <c r="AZ174" i="9"/>
  <c r="AQ174" i="9"/>
  <c r="AO175" i="9"/>
  <c r="AP174" i="9"/>
  <c r="AR174" i="9"/>
  <c r="AU174" i="9" s="1"/>
  <c r="AU150" i="3"/>
  <c r="AW150" i="3" s="1"/>
  <c r="AV149" i="3"/>
  <c r="AW149" i="3"/>
  <c r="AR151" i="3"/>
  <c r="AQ151" i="3"/>
  <c r="AP151" i="3"/>
  <c r="AZ151" i="3"/>
  <c r="AO152" i="3"/>
  <c r="AW152" i="8"/>
  <c r="AX152" i="8" s="1"/>
  <c r="AY152" i="8" s="1"/>
  <c r="BA152" i="8" s="1"/>
  <c r="AU153" i="8"/>
  <c r="AV153" i="8" s="1"/>
  <c r="AZ154" i="8"/>
  <c r="AO155" i="8"/>
  <c r="AP154" i="8"/>
  <c r="AR154" i="8"/>
  <c r="AU154" i="8" s="1"/>
  <c r="AX149" i="2"/>
  <c r="AY149" i="2" s="1"/>
  <c r="BA149" i="2" s="1"/>
  <c r="AZ151" i="2"/>
  <c r="AR151" i="2"/>
  <c r="AU151" i="2" s="1"/>
  <c r="AO152" i="2"/>
  <c r="AQ152" i="2" s="1"/>
  <c r="AP151" i="2"/>
  <c r="AV150" i="2"/>
  <c r="AW150" i="2"/>
  <c r="AX173" i="9" l="1"/>
  <c r="AY173" i="9" s="1"/>
  <c r="BA173" i="9" s="1"/>
  <c r="AV174" i="9"/>
  <c r="AW174" i="9"/>
  <c r="AO176" i="9"/>
  <c r="AQ175" i="9"/>
  <c r="AZ175" i="9"/>
  <c r="AP175" i="9"/>
  <c r="AR175" i="9"/>
  <c r="AU175" i="9" s="1"/>
  <c r="AV150" i="3"/>
  <c r="AX150" i="3" s="1"/>
  <c r="AY150" i="3" s="1"/>
  <c r="BA150" i="3" s="1"/>
  <c r="AX149" i="3"/>
  <c r="AY149" i="3" s="1"/>
  <c r="BA149" i="3" s="1"/>
  <c r="AZ152" i="3"/>
  <c r="AO153" i="3"/>
  <c r="AP152" i="3"/>
  <c r="AR152" i="3"/>
  <c r="AQ152" i="3"/>
  <c r="AU151" i="3"/>
  <c r="AW153" i="8"/>
  <c r="AX153" i="8" s="1"/>
  <c r="AY153" i="8" s="1"/>
  <c r="BA153" i="8" s="1"/>
  <c r="AZ155" i="8"/>
  <c r="AO156" i="8"/>
  <c r="AP155" i="8"/>
  <c r="AR155" i="8"/>
  <c r="AV154" i="8"/>
  <c r="AW154" i="8"/>
  <c r="AX150" i="2"/>
  <c r="AY150" i="2" s="1"/>
  <c r="BA150" i="2" s="1"/>
  <c r="AZ152" i="2"/>
  <c r="AR152" i="2"/>
  <c r="AU152" i="2" s="1"/>
  <c r="AO153" i="2"/>
  <c r="AQ153" i="2" s="1"/>
  <c r="AP152" i="2"/>
  <c r="AV151" i="2"/>
  <c r="AW151" i="2"/>
  <c r="AX174" i="9" l="1"/>
  <c r="AY174" i="9" s="1"/>
  <c r="BA174" i="9" s="1"/>
  <c r="AV175" i="9"/>
  <c r="AW175" i="9"/>
  <c r="AZ176" i="9"/>
  <c r="AQ176" i="9"/>
  <c r="AO177" i="9"/>
  <c r="AP176" i="9"/>
  <c r="AR176" i="9"/>
  <c r="AU176" i="9" s="1"/>
  <c r="AX154" i="8"/>
  <c r="AY154" i="8" s="1"/>
  <c r="BA154" i="8" s="1"/>
  <c r="AU152" i="3"/>
  <c r="AV152" i="3" s="1"/>
  <c r="AX151" i="2"/>
  <c r="AY151" i="2" s="1"/>
  <c r="BA151" i="2" s="1"/>
  <c r="AW151" i="3"/>
  <c r="AV151" i="3"/>
  <c r="AR153" i="3"/>
  <c r="AQ153" i="3"/>
  <c r="AO154" i="3"/>
  <c r="AZ153" i="3"/>
  <c r="AP153" i="3"/>
  <c r="AU155" i="8"/>
  <c r="AV155" i="8" s="1"/>
  <c r="AZ156" i="8"/>
  <c r="AO157" i="8"/>
  <c r="AP156" i="8"/>
  <c r="AR156" i="8"/>
  <c r="AZ153" i="2"/>
  <c r="AO154" i="2"/>
  <c r="AQ154" i="2" s="1"/>
  <c r="AP153" i="2"/>
  <c r="AR153" i="2"/>
  <c r="AU153" i="2" s="1"/>
  <c r="AV152" i="2"/>
  <c r="AW152" i="2"/>
  <c r="AV176" i="9" l="1"/>
  <c r="AX176" i="9" s="1"/>
  <c r="AY176" i="9" s="1"/>
  <c r="BA176" i="9" s="1"/>
  <c r="AW176" i="9"/>
  <c r="AO178" i="9"/>
  <c r="AQ177" i="9"/>
  <c r="AZ177" i="9"/>
  <c r="AP177" i="9"/>
  <c r="AR177" i="9"/>
  <c r="AU177" i="9" s="1"/>
  <c r="AX175" i="9"/>
  <c r="AY175" i="9" s="1"/>
  <c r="BA175" i="9" s="1"/>
  <c r="AW152" i="3"/>
  <c r="AX152" i="3" s="1"/>
  <c r="AY152" i="3" s="1"/>
  <c r="BA152" i="3" s="1"/>
  <c r="AU153" i="3"/>
  <c r="AW153" i="3" s="1"/>
  <c r="AX151" i="3"/>
  <c r="AY151" i="3" s="1"/>
  <c r="BA151" i="3" s="1"/>
  <c r="AQ154" i="3"/>
  <c r="AZ154" i="3"/>
  <c r="AO155" i="3"/>
  <c r="AR154" i="3"/>
  <c r="AP154" i="3"/>
  <c r="AW155" i="8"/>
  <c r="AX155" i="8" s="1"/>
  <c r="AY155" i="8" s="1"/>
  <c r="BA155" i="8" s="1"/>
  <c r="AU156" i="8"/>
  <c r="AV156" i="8" s="1"/>
  <c r="AZ157" i="8"/>
  <c r="AO158" i="8"/>
  <c r="AP157" i="8"/>
  <c r="AR157" i="8"/>
  <c r="AU157" i="8" s="1"/>
  <c r="AX152" i="2"/>
  <c r="AY152" i="2" s="1"/>
  <c r="BA152" i="2" s="1"/>
  <c r="AZ154" i="2"/>
  <c r="AR154" i="2"/>
  <c r="AU154" i="2" s="1"/>
  <c r="AO155" i="2"/>
  <c r="AQ155" i="2" s="1"/>
  <c r="AP154" i="2"/>
  <c r="AV153" i="2"/>
  <c r="AW153" i="2"/>
  <c r="AW177" i="9" l="1"/>
  <c r="AV177" i="9"/>
  <c r="AX177" i="9" s="1"/>
  <c r="AY177" i="9" s="1"/>
  <c r="BA177" i="9" s="1"/>
  <c r="AZ178" i="9"/>
  <c r="AQ178" i="9"/>
  <c r="AO179" i="9"/>
  <c r="AP178" i="9"/>
  <c r="AR178" i="9"/>
  <c r="AU178" i="9" s="1"/>
  <c r="AU154" i="3"/>
  <c r="AV154" i="3" s="1"/>
  <c r="AV153" i="3"/>
  <c r="AX153" i="3" s="1"/>
  <c r="AY153" i="3" s="1"/>
  <c r="BA153" i="3" s="1"/>
  <c r="AQ155" i="3"/>
  <c r="AO156" i="3"/>
  <c r="AP155" i="3"/>
  <c r="AZ155" i="3"/>
  <c r="AR155" i="3"/>
  <c r="AW156" i="8"/>
  <c r="AX156" i="8" s="1"/>
  <c r="AY156" i="8" s="1"/>
  <c r="BA156" i="8" s="1"/>
  <c r="AZ158" i="8"/>
  <c r="AO159" i="8"/>
  <c r="AP158" i="8"/>
  <c r="AR158" i="8"/>
  <c r="AV157" i="8"/>
  <c r="AW157" i="8"/>
  <c r="AZ155" i="2"/>
  <c r="AR155" i="2"/>
  <c r="AU155" i="2" s="1"/>
  <c r="AO156" i="2"/>
  <c r="AQ156" i="2" s="1"/>
  <c r="AP155" i="2"/>
  <c r="AV154" i="2"/>
  <c r="AW154" i="2"/>
  <c r="AX153" i="2"/>
  <c r="AY153" i="2" s="1"/>
  <c r="BA153" i="2" s="1"/>
  <c r="AU155" i="3" l="1"/>
  <c r="AV178" i="9"/>
  <c r="AX178" i="9" s="1"/>
  <c r="AY178" i="9" s="1"/>
  <c r="BA178" i="9" s="1"/>
  <c r="AW178" i="9"/>
  <c r="AZ179" i="9"/>
  <c r="AQ179" i="9"/>
  <c r="AO180" i="9"/>
  <c r="AP179" i="9"/>
  <c r="AR179" i="9"/>
  <c r="AU179" i="9" s="1"/>
  <c r="AW154" i="3"/>
  <c r="AX154" i="3" s="1"/>
  <c r="AY154" i="3" s="1"/>
  <c r="BA154" i="3" s="1"/>
  <c r="AQ156" i="3"/>
  <c r="AP156" i="3"/>
  <c r="AZ156" i="3"/>
  <c r="AO157" i="3"/>
  <c r="AR156" i="3"/>
  <c r="AV155" i="3"/>
  <c r="AW155" i="3"/>
  <c r="AX157" i="8"/>
  <c r="AY157" i="8" s="1"/>
  <c r="BA157" i="8" s="1"/>
  <c r="AU158" i="8"/>
  <c r="AV158" i="8" s="1"/>
  <c r="AZ159" i="8"/>
  <c r="AO160" i="8"/>
  <c r="AP159" i="8"/>
  <c r="AR159" i="8"/>
  <c r="AX154" i="2"/>
  <c r="AY154" i="2" s="1"/>
  <c r="BA154" i="2" s="1"/>
  <c r="AZ156" i="2"/>
  <c r="AR156" i="2"/>
  <c r="AU156" i="2" s="1"/>
  <c r="AO157" i="2"/>
  <c r="AQ157" i="2" s="1"/>
  <c r="AP156" i="2"/>
  <c r="AV155" i="2"/>
  <c r="AW155" i="2"/>
  <c r="AV179" i="9" l="1"/>
  <c r="AW179" i="9"/>
  <c r="AZ180" i="9"/>
  <c r="AQ180" i="9"/>
  <c r="AO181" i="9"/>
  <c r="AP180" i="9"/>
  <c r="AR180" i="9"/>
  <c r="AU180" i="9" s="1"/>
  <c r="AX155" i="3"/>
  <c r="AY155" i="3" s="1"/>
  <c r="BA155" i="3" s="1"/>
  <c r="AQ157" i="3"/>
  <c r="AZ157" i="3"/>
  <c r="AR157" i="3"/>
  <c r="AP157" i="3"/>
  <c r="AO158" i="3"/>
  <c r="AU156" i="3"/>
  <c r="AW158" i="8"/>
  <c r="AX158" i="8" s="1"/>
  <c r="AY158" i="8" s="1"/>
  <c r="BA158" i="8" s="1"/>
  <c r="AU159" i="8"/>
  <c r="AV159" i="8" s="1"/>
  <c r="AZ160" i="8"/>
  <c r="AO161" i="8"/>
  <c r="AP160" i="8"/>
  <c r="AR160" i="8"/>
  <c r="AX155" i="2"/>
  <c r="AY155" i="2" s="1"/>
  <c r="BA155" i="2" s="1"/>
  <c r="AZ157" i="2"/>
  <c r="AO158" i="2"/>
  <c r="AQ158" i="2" s="1"/>
  <c r="AP157" i="2"/>
  <c r="AR157" i="2"/>
  <c r="AU157" i="2" s="1"/>
  <c r="AV156" i="2"/>
  <c r="AW156" i="2"/>
  <c r="AV180" i="9" l="1"/>
  <c r="AW180" i="9"/>
  <c r="AZ181" i="9"/>
  <c r="AQ181" i="9"/>
  <c r="AO182" i="9"/>
  <c r="AP181" i="9"/>
  <c r="AR181" i="9"/>
  <c r="AU181" i="9" s="1"/>
  <c r="AX179" i="9"/>
  <c r="AY179" i="9" s="1"/>
  <c r="BA179" i="9" s="1"/>
  <c r="AV156" i="3"/>
  <c r="AW156" i="3"/>
  <c r="AZ158" i="3"/>
  <c r="AP158" i="3"/>
  <c r="AR158" i="3"/>
  <c r="AQ158" i="3"/>
  <c r="AO159" i="3"/>
  <c r="AU157" i="3"/>
  <c r="AW159" i="8"/>
  <c r="AX159" i="8" s="1"/>
  <c r="AY159" i="8" s="1"/>
  <c r="BA159" i="8" s="1"/>
  <c r="AU160" i="8"/>
  <c r="AV160" i="8" s="1"/>
  <c r="AZ161" i="8"/>
  <c r="AO162" i="8"/>
  <c r="AP161" i="8"/>
  <c r="AR161" i="8"/>
  <c r="AX156" i="2"/>
  <c r="AY156" i="2" s="1"/>
  <c r="BA156" i="2" s="1"/>
  <c r="AZ158" i="2"/>
  <c r="AR158" i="2"/>
  <c r="AU158" i="2" s="1"/>
  <c r="AO159" i="2"/>
  <c r="AQ159" i="2" s="1"/>
  <c r="AP158" i="2"/>
  <c r="AV157" i="2"/>
  <c r="AW157" i="2"/>
  <c r="AX180" i="9" l="1"/>
  <c r="AY180" i="9" s="1"/>
  <c r="BA180" i="9" s="1"/>
  <c r="AV181" i="9"/>
  <c r="AW181" i="9"/>
  <c r="AZ182" i="9"/>
  <c r="AQ182" i="9"/>
  <c r="AO183" i="9"/>
  <c r="AP182" i="9"/>
  <c r="AR182" i="9"/>
  <c r="AU182" i="9" s="1"/>
  <c r="AU158" i="3"/>
  <c r="AW158" i="3" s="1"/>
  <c r="AV157" i="3"/>
  <c r="AW157" i="3"/>
  <c r="AQ159" i="3"/>
  <c r="AP159" i="3"/>
  <c r="AO160" i="3"/>
  <c r="AZ159" i="3"/>
  <c r="AR159" i="3"/>
  <c r="AX156" i="3"/>
  <c r="AY156" i="3" s="1"/>
  <c r="BA156" i="3" s="1"/>
  <c r="AW160" i="8"/>
  <c r="AX160" i="8" s="1"/>
  <c r="AY160" i="8" s="1"/>
  <c r="BA160" i="8" s="1"/>
  <c r="AU161" i="8"/>
  <c r="AW161" i="8" s="1"/>
  <c r="AZ162" i="8"/>
  <c r="AO163" i="8"/>
  <c r="AP162" i="8"/>
  <c r="AR162" i="8"/>
  <c r="AZ159" i="2"/>
  <c r="AR159" i="2"/>
  <c r="AU159" i="2" s="1"/>
  <c r="AO160" i="2"/>
  <c r="AQ160" i="2" s="1"/>
  <c r="AP159" i="2"/>
  <c r="AV158" i="2"/>
  <c r="AW158" i="2"/>
  <c r="AX157" i="2"/>
  <c r="AY157" i="2" s="1"/>
  <c r="BA157" i="2" s="1"/>
  <c r="AX181" i="9" l="1"/>
  <c r="AY181" i="9" s="1"/>
  <c r="BA181" i="9" s="1"/>
  <c r="AV182" i="9"/>
  <c r="AW182" i="9"/>
  <c r="AZ183" i="9"/>
  <c r="AQ183" i="9"/>
  <c r="AO184" i="9"/>
  <c r="AP183" i="9"/>
  <c r="AR183" i="9"/>
  <c r="AU183" i="9" s="1"/>
  <c r="AV158" i="3"/>
  <c r="AX158" i="3" s="1"/>
  <c r="AY158" i="3" s="1"/>
  <c r="BA158" i="3" s="1"/>
  <c r="AX157" i="3"/>
  <c r="AY157" i="3" s="1"/>
  <c r="BA157" i="3" s="1"/>
  <c r="AU159" i="3"/>
  <c r="AR160" i="3"/>
  <c r="AZ160" i="3"/>
  <c r="AP160" i="3"/>
  <c r="AQ160" i="3"/>
  <c r="AO161" i="3"/>
  <c r="AV161" i="8"/>
  <c r="AX161" i="8" s="1"/>
  <c r="AY161" i="8" s="1"/>
  <c r="BA161" i="8" s="1"/>
  <c r="AU162" i="8"/>
  <c r="AV162" i="8" s="1"/>
  <c r="AZ163" i="8"/>
  <c r="AO164" i="8"/>
  <c r="AP163" i="8"/>
  <c r="AR163" i="8"/>
  <c r="AX158" i="2"/>
  <c r="AY158" i="2" s="1"/>
  <c r="BA158" i="2" s="1"/>
  <c r="AZ160" i="2"/>
  <c r="AR160" i="2"/>
  <c r="AU160" i="2" s="1"/>
  <c r="AO161" i="2"/>
  <c r="AQ161" i="2" s="1"/>
  <c r="AP160" i="2"/>
  <c r="AV159" i="2"/>
  <c r="AW159" i="2"/>
  <c r="AV183" i="9" l="1"/>
  <c r="AW183" i="9"/>
  <c r="AZ184" i="9"/>
  <c r="AQ184" i="9"/>
  <c r="AO185" i="9"/>
  <c r="AP184" i="9"/>
  <c r="AR184" i="9"/>
  <c r="AU184" i="9" s="1"/>
  <c r="AX182" i="9"/>
  <c r="AY182" i="9" s="1"/>
  <c r="BA182" i="9" s="1"/>
  <c r="AQ161" i="3"/>
  <c r="AP161" i="3"/>
  <c r="AO162" i="3"/>
  <c r="AZ161" i="3"/>
  <c r="AR161" i="3"/>
  <c r="AU161" i="3" s="1"/>
  <c r="AU160" i="3"/>
  <c r="AV159" i="3"/>
  <c r="AW159" i="3"/>
  <c r="AW162" i="8"/>
  <c r="AX162" i="8" s="1"/>
  <c r="AY162" i="8" s="1"/>
  <c r="BA162" i="8" s="1"/>
  <c r="AU163" i="8"/>
  <c r="AV163" i="8" s="1"/>
  <c r="AZ164" i="8"/>
  <c r="AO165" i="8"/>
  <c r="AP164" i="8"/>
  <c r="AR164" i="8"/>
  <c r="AX159" i="2"/>
  <c r="AY159" i="2" s="1"/>
  <c r="BA159" i="2" s="1"/>
  <c r="AZ161" i="2"/>
  <c r="AO162" i="2"/>
  <c r="AQ162" i="2" s="1"/>
  <c r="AP161" i="2"/>
  <c r="AR161" i="2"/>
  <c r="AU161" i="2" s="1"/>
  <c r="AV160" i="2"/>
  <c r="AW160" i="2"/>
  <c r="AX183" i="9" l="1"/>
  <c r="AY183" i="9" s="1"/>
  <c r="BA183" i="9" s="1"/>
  <c r="AV184" i="9"/>
  <c r="AW184" i="9"/>
  <c r="AZ185" i="9"/>
  <c r="AQ185" i="9"/>
  <c r="AO186" i="9"/>
  <c r="AP185" i="9"/>
  <c r="AR185" i="9"/>
  <c r="AU185" i="9" s="1"/>
  <c r="AX159" i="3"/>
  <c r="AY159" i="3" s="1"/>
  <c r="BA159" i="3" s="1"/>
  <c r="AP162" i="3"/>
  <c r="AR162" i="3"/>
  <c r="AQ162" i="3"/>
  <c r="AZ162" i="3"/>
  <c r="AO163" i="3"/>
  <c r="AW160" i="3"/>
  <c r="AV160" i="3"/>
  <c r="AW161" i="3"/>
  <c r="AV161" i="3"/>
  <c r="AW163" i="8"/>
  <c r="AX163" i="8" s="1"/>
  <c r="AY163" i="8" s="1"/>
  <c r="BA163" i="8" s="1"/>
  <c r="AU164" i="8"/>
  <c r="AV164" i="8" s="1"/>
  <c r="AZ165" i="8"/>
  <c r="AO166" i="8"/>
  <c r="AP165" i="8"/>
  <c r="AR165" i="8"/>
  <c r="AX160" i="2"/>
  <c r="AY160" i="2" s="1"/>
  <c r="BA160" i="2" s="1"/>
  <c r="AZ162" i="2"/>
  <c r="AR162" i="2"/>
  <c r="AU162" i="2" s="1"/>
  <c r="AO163" i="2"/>
  <c r="AQ163" i="2" s="1"/>
  <c r="AP162" i="2"/>
  <c r="AV161" i="2"/>
  <c r="AW161" i="2"/>
  <c r="AX184" i="9" l="1"/>
  <c r="AY184" i="9" s="1"/>
  <c r="BA184" i="9" s="1"/>
  <c r="AV185" i="9"/>
  <c r="AW185" i="9"/>
  <c r="AZ186" i="9"/>
  <c r="AQ186" i="9"/>
  <c r="AO187" i="9"/>
  <c r="AP186" i="9"/>
  <c r="AR186" i="9"/>
  <c r="AU186" i="9" s="1"/>
  <c r="AU162" i="3"/>
  <c r="AW162" i="3" s="1"/>
  <c r="AX160" i="3"/>
  <c r="AY160" i="3" s="1"/>
  <c r="BA160" i="3" s="1"/>
  <c r="AX161" i="3"/>
  <c r="AY161" i="3" s="1"/>
  <c r="BA161" i="3" s="1"/>
  <c r="AX161" i="2"/>
  <c r="AY161" i="2" s="1"/>
  <c r="BA161" i="2" s="1"/>
  <c r="AZ163" i="3"/>
  <c r="AQ163" i="3"/>
  <c r="AR163" i="3"/>
  <c r="AP163" i="3"/>
  <c r="AO164" i="3"/>
  <c r="AW164" i="8"/>
  <c r="AX164" i="8" s="1"/>
  <c r="AY164" i="8" s="1"/>
  <c r="BA164" i="8" s="1"/>
  <c r="AU165" i="8"/>
  <c r="AV165" i="8" s="1"/>
  <c r="AZ166" i="8"/>
  <c r="AO167" i="8"/>
  <c r="AP166" i="8"/>
  <c r="AR166" i="8"/>
  <c r="AZ163" i="2"/>
  <c r="AR163" i="2"/>
  <c r="AU163" i="2" s="1"/>
  <c r="AO164" i="2"/>
  <c r="AQ164" i="2" s="1"/>
  <c r="AP163" i="2"/>
  <c r="AV162" i="2"/>
  <c r="AW162" i="2"/>
  <c r="AV186" i="9" l="1"/>
  <c r="AW186" i="9"/>
  <c r="AO188" i="9"/>
  <c r="AZ187" i="9"/>
  <c r="AQ187" i="9"/>
  <c r="AP187" i="9"/>
  <c r="AR187" i="9"/>
  <c r="AU187" i="9" s="1"/>
  <c r="AX185" i="9"/>
  <c r="AY185" i="9" s="1"/>
  <c r="BA185" i="9" s="1"/>
  <c r="AU163" i="3"/>
  <c r="AV163" i="3" s="1"/>
  <c r="AV162" i="3"/>
  <c r="AX162" i="3" s="1"/>
  <c r="AY162" i="3" s="1"/>
  <c r="BA162" i="3" s="1"/>
  <c r="AX162" i="2"/>
  <c r="AY162" i="2" s="1"/>
  <c r="BA162" i="2" s="1"/>
  <c r="AP164" i="3"/>
  <c r="AR164" i="3"/>
  <c r="AQ164" i="3"/>
  <c r="AZ164" i="3"/>
  <c r="AO165" i="3"/>
  <c r="AW165" i="8"/>
  <c r="AX165" i="8" s="1"/>
  <c r="AY165" i="8" s="1"/>
  <c r="BA165" i="8" s="1"/>
  <c r="AU166" i="8"/>
  <c r="AV166" i="8" s="1"/>
  <c r="AZ167" i="8"/>
  <c r="AO168" i="8"/>
  <c r="AP167" i="8"/>
  <c r="AR167" i="8"/>
  <c r="AZ164" i="2"/>
  <c r="AR164" i="2"/>
  <c r="AU164" i="2" s="1"/>
  <c r="AO165" i="2"/>
  <c r="AQ165" i="2" s="1"/>
  <c r="AP164" i="2"/>
  <c r="AV163" i="2"/>
  <c r="AW163" i="2"/>
  <c r="AX186" i="9" l="1"/>
  <c r="AY186" i="9" s="1"/>
  <c r="BA186" i="9" s="1"/>
  <c r="AV187" i="9"/>
  <c r="AW187" i="9"/>
  <c r="AZ188" i="9"/>
  <c r="AQ188" i="9"/>
  <c r="AO189" i="9"/>
  <c r="AP188" i="9"/>
  <c r="AR188" i="9"/>
  <c r="AU188" i="9" s="1"/>
  <c r="AW163" i="3"/>
  <c r="AX163" i="3" s="1"/>
  <c r="AY163" i="3" s="1"/>
  <c r="BA163" i="3" s="1"/>
  <c r="AU164" i="3"/>
  <c r="AV164" i="3" s="1"/>
  <c r="AX163" i="2"/>
  <c r="AY163" i="2" s="1"/>
  <c r="BA163" i="2" s="1"/>
  <c r="AP165" i="3"/>
  <c r="AO166" i="3"/>
  <c r="AZ165" i="3"/>
  <c r="AR165" i="3"/>
  <c r="AQ165" i="3"/>
  <c r="AW166" i="8"/>
  <c r="AX166" i="8" s="1"/>
  <c r="AY166" i="8" s="1"/>
  <c r="BA166" i="8" s="1"/>
  <c r="AU167" i="8"/>
  <c r="AV167" i="8" s="1"/>
  <c r="AO169" i="8"/>
  <c r="AZ168" i="8"/>
  <c r="AP168" i="8"/>
  <c r="AR168" i="8"/>
  <c r="AZ165" i="2"/>
  <c r="AO166" i="2"/>
  <c r="AQ166" i="2" s="1"/>
  <c r="AP165" i="2"/>
  <c r="AR165" i="2"/>
  <c r="AU165" i="2" s="1"/>
  <c r="AV164" i="2"/>
  <c r="AW164" i="2"/>
  <c r="AX187" i="9" l="1"/>
  <c r="AY187" i="9" s="1"/>
  <c r="BA187" i="9" s="1"/>
  <c r="AV188" i="9"/>
  <c r="AW188" i="9"/>
  <c r="AO190" i="9"/>
  <c r="AZ189" i="9"/>
  <c r="AQ189" i="9"/>
  <c r="AP189" i="9"/>
  <c r="AR189" i="9"/>
  <c r="AU189" i="9" s="1"/>
  <c r="F81" i="9"/>
  <c r="H81" i="9"/>
  <c r="G81" i="9"/>
  <c r="I81" i="9"/>
  <c r="AW164" i="3"/>
  <c r="AX164" i="3" s="1"/>
  <c r="AY164" i="3" s="1"/>
  <c r="BA164" i="3" s="1"/>
  <c r="AU165" i="3"/>
  <c r="AW165" i="3" s="1"/>
  <c r="AX164" i="2"/>
  <c r="AY164" i="2" s="1"/>
  <c r="BA164" i="2" s="1"/>
  <c r="AP166" i="3"/>
  <c r="AQ166" i="3"/>
  <c r="AZ166" i="3"/>
  <c r="AO167" i="3"/>
  <c r="AR166" i="3"/>
  <c r="AW167" i="8"/>
  <c r="AX167" i="8" s="1"/>
  <c r="AY167" i="8" s="1"/>
  <c r="BA167" i="8" s="1"/>
  <c r="AU168" i="8"/>
  <c r="AV168" i="8" s="1"/>
  <c r="AO170" i="8"/>
  <c r="AZ169" i="8"/>
  <c r="AP169" i="8"/>
  <c r="AR169" i="8"/>
  <c r="AZ166" i="2"/>
  <c r="AO167" i="2"/>
  <c r="AQ167" i="2" s="1"/>
  <c r="AR166" i="2"/>
  <c r="AU166" i="2" s="1"/>
  <c r="AP166" i="2"/>
  <c r="AV165" i="2"/>
  <c r="AW165" i="2"/>
  <c r="AX188" i="9" l="1"/>
  <c r="AY188" i="9" s="1"/>
  <c r="BA188" i="9" s="1"/>
  <c r="AV189" i="9"/>
  <c r="AW189" i="9"/>
  <c r="AO191" i="9"/>
  <c r="AZ190" i="9"/>
  <c r="AQ190" i="9"/>
  <c r="AP190" i="9"/>
  <c r="AR190" i="9"/>
  <c r="AU190" i="9" s="1"/>
  <c r="AX165" i="2"/>
  <c r="AY165" i="2" s="1"/>
  <c r="BA165" i="2" s="1"/>
  <c r="AV165" i="3"/>
  <c r="AX165" i="3" s="1"/>
  <c r="AY165" i="3" s="1"/>
  <c r="BA165" i="3" s="1"/>
  <c r="AU166" i="3"/>
  <c r="AQ167" i="3"/>
  <c r="AP167" i="3"/>
  <c r="AZ167" i="3"/>
  <c r="AO168" i="3"/>
  <c r="AR167" i="3"/>
  <c r="AW168" i="8"/>
  <c r="AX168" i="8" s="1"/>
  <c r="AY168" i="8" s="1"/>
  <c r="BA168" i="8" s="1"/>
  <c r="AU169" i="8"/>
  <c r="AW169" i="8" s="1"/>
  <c r="AZ170" i="8"/>
  <c r="AO171" i="8"/>
  <c r="AP170" i="8"/>
  <c r="AR170" i="8"/>
  <c r="AV166" i="2"/>
  <c r="AW166" i="2"/>
  <c r="AZ167" i="2"/>
  <c r="AO168" i="2"/>
  <c r="AQ168" i="2" s="1"/>
  <c r="AR167" i="2"/>
  <c r="AU167" i="2" s="1"/>
  <c r="AP167" i="2"/>
  <c r="AX189" i="9" l="1"/>
  <c r="AY189" i="9" s="1"/>
  <c r="BA189" i="9" s="1"/>
  <c r="AV190" i="9"/>
  <c r="AW190" i="9"/>
  <c r="AO192" i="9"/>
  <c r="AZ191" i="9"/>
  <c r="AQ191" i="9"/>
  <c r="AP191" i="9"/>
  <c r="AR191" i="9"/>
  <c r="AU191" i="9" s="1"/>
  <c r="AU167" i="3"/>
  <c r="AW167" i="3" s="1"/>
  <c r="AX166" i="2"/>
  <c r="AY166" i="2" s="1"/>
  <c r="BA166" i="2" s="1"/>
  <c r="AP168" i="3"/>
  <c r="AR168" i="3"/>
  <c r="AQ168" i="3"/>
  <c r="AZ168" i="3"/>
  <c r="AO169" i="3"/>
  <c r="AW166" i="3"/>
  <c r="AV166" i="3"/>
  <c r="AU170" i="8"/>
  <c r="AV170" i="8" s="1"/>
  <c r="AV169" i="8"/>
  <c r="AX169" i="8" s="1"/>
  <c r="AY169" i="8" s="1"/>
  <c r="BA169" i="8" s="1"/>
  <c r="AZ171" i="8"/>
  <c r="AO172" i="8"/>
  <c r="AP171" i="8"/>
  <c r="AR171" i="8"/>
  <c r="AZ168" i="2"/>
  <c r="AO169" i="2"/>
  <c r="AQ169" i="2" s="1"/>
  <c r="AR168" i="2"/>
  <c r="AU168" i="2" s="1"/>
  <c r="AP168" i="2"/>
  <c r="AV167" i="2"/>
  <c r="AW167" i="2"/>
  <c r="AV167" i="3" l="1"/>
  <c r="AV191" i="9"/>
  <c r="AW191" i="9"/>
  <c r="AO193" i="9"/>
  <c r="AZ192" i="9"/>
  <c r="AQ192" i="9"/>
  <c r="AP192" i="9"/>
  <c r="AR192" i="9"/>
  <c r="AX190" i="9"/>
  <c r="AY190" i="9" s="1"/>
  <c r="BA190" i="9" s="1"/>
  <c r="AX167" i="3"/>
  <c r="AY167" i="3" s="1"/>
  <c r="BA167" i="3" s="1"/>
  <c r="AU168" i="3"/>
  <c r="AV168" i="3" s="1"/>
  <c r="AX167" i="2"/>
  <c r="AY167" i="2" s="1"/>
  <c r="BA167" i="2" s="1"/>
  <c r="AZ169" i="3"/>
  <c r="AR169" i="3"/>
  <c r="AQ169" i="3"/>
  <c r="AP169" i="3"/>
  <c r="AO170" i="3"/>
  <c r="AX166" i="3"/>
  <c r="AY166" i="3" s="1"/>
  <c r="BA166" i="3" s="1"/>
  <c r="AW168" i="3"/>
  <c r="AW170" i="8"/>
  <c r="AX170" i="8" s="1"/>
  <c r="AY170" i="8" s="1"/>
  <c r="BA170" i="8" s="1"/>
  <c r="AU171" i="8"/>
  <c r="AV171" i="8" s="1"/>
  <c r="AO173" i="8"/>
  <c r="AZ172" i="8"/>
  <c r="AP172" i="8"/>
  <c r="AR172" i="8"/>
  <c r="AV168" i="2"/>
  <c r="AW168" i="2"/>
  <c r="AZ169" i="2"/>
  <c r="AO170" i="2"/>
  <c r="AQ170" i="2" s="1"/>
  <c r="AP169" i="2"/>
  <c r="AR169" i="2"/>
  <c r="AU169" i="2" s="1"/>
  <c r="AU192" i="9" l="1"/>
  <c r="AV192" i="9" s="1"/>
  <c r="AQ193" i="9"/>
  <c r="AO194" i="9"/>
  <c r="AZ193" i="9"/>
  <c r="AP193" i="9"/>
  <c r="AR193" i="9"/>
  <c r="AU193" i="9" s="1"/>
  <c r="AX191" i="9"/>
  <c r="AY191" i="9" s="1"/>
  <c r="BA191" i="9" s="1"/>
  <c r="AU169" i="3"/>
  <c r="AW169" i="3" s="1"/>
  <c r="AX168" i="3"/>
  <c r="AY168" i="3" s="1"/>
  <c r="BA168" i="3" s="1"/>
  <c r="AX168" i="2"/>
  <c r="AY168" i="2" s="1"/>
  <c r="BA168" i="2" s="1"/>
  <c r="AZ170" i="3"/>
  <c r="AO171" i="3"/>
  <c r="AP170" i="3"/>
  <c r="AQ170" i="3"/>
  <c r="AR170" i="3"/>
  <c r="AW171" i="8"/>
  <c r="AX171" i="8" s="1"/>
  <c r="AY171" i="8" s="1"/>
  <c r="BA171" i="8" s="1"/>
  <c r="AU172" i="8"/>
  <c r="AW172" i="8" s="1"/>
  <c r="AO174" i="8"/>
  <c r="AZ173" i="8"/>
  <c r="AP173" i="8"/>
  <c r="AR173" i="8"/>
  <c r="AU173" i="8" s="1"/>
  <c r="AZ170" i="2"/>
  <c r="AO171" i="2"/>
  <c r="AQ171" i="2" s="1"/>
  <c r="AR170" i="2"/>
  <c r="AU170" i="2" s="1"/>
  <c r="AP170" i="2"/>
  <c r="AV169" i="2"/>
  <c r="AW169" i="2"/>
  <c r="AW192" i="9" l="1"/>
  <c r="AZ194" i="9"/>
  <c r="AO195" i="9"/>
  <c r="AQ194" i="9"/>
  <c r="AP194" i="9"/>
  <c r="AR194" i="9"/>
  <c r="AU194" i="9" s="1"/>
  <c r="AV193" i="9"/>
  <c r="AW193" i="9"/>
  <c r="AX192" i="9"/>
  <c r="AY192" i="9" s="1"/>
  <c r="BA192" i="9" s="1"/>
  <c r="AV169" i="3"/>
  <c r="AX169" i="3" s="1"/>
  <c r="AY169" i="3" s="1"/>
  <c r="BA169" i="3" s="1"/>
  <c r="AX169" i="2"/>
  <c r="AY169" i="2" s="1"/>
  <c r="BA169" i="2" s="1"/>
  <c r="AU170" i="3"/>
  <c r="AR171" i="3"/>
  <c r="AQ171" i="3"/>
  <c r="AZ171" i="3"/>
  <c r="AP171" i="3"/>
  <c r="AO172" i="3"/>
  <c r="AV172" i="8"/>
  <c r="AX172" i="8" s="1"/>
  <c r="AY172" i="8" s="1"/>
  <c r="BA172" i="8" s="1"/>
  <c r="AO175" i="8"/>
  <c r="AZ174" i="8"/>
  <c r="AP174" i="8"/>
  <c r="AR174" i="8"/>
  <c r="AW173" i="8"/>
  <c r="AV173" i="8"/>
  <c r="AV170" i="2"/>
  <c r="AW170" i="2"/>
  <c r="AZ171" i="2"/>
  <c r="AO172" i="2"/>
  <c r="AQ172" i="2" s="1"/>
  <c r="AR171" i="2"/>
  <c r="AU171" i="2" s="1"/>
  <c r="AP171" i="2"/>
  <c r="AV194" i="9" l="1"/>
  <c r="AW194" i="9"/>
  <c r="AX193" i="9"/>
  <c r="AY193" i="9" s="1"/>
  <c r="BA193" i="9" s="1"/>
  <c r="AZ195" i="9"/>
  <c r="AQ195" i="9"/>
  <c r="AO196" i="9"/>
  <c r="AP195" i="9"/>
  <c r="AR195" i="9"/>
  <c r="AU195" i="9" s="1"/>
  <c r="AX170" i="2"/>
  <c r="AY170" i="2" s="1"/>
  <c r="BA170" i="2" s="1"/>
  <c r="AX173" i="8"/>
  <c r="AY173" i="8" s="1"/>
  <c r="BA173" i="8" s="1"/>
  <c r="AU171" i="3"/>
  <c r="AW171" i="3" s="1"/>
  <c r="AQ172" i="3"/>
  <c r="AZ172" i="3"/>
  <c r="AO173" i="3"/>
  <c r="AR172" i="3"/>
  <c r="AP172" i="3"/>
  <c r="AW170" i="3"/>
  <c r="AV170" i="3"/>
  <c r="AU174" i="8"/>
  <c r="AV174" i="8" s="1"/>
  <c r="AO176" i="8"/>
  <c r="AZ175" i="8"/>
  <c r="AP175" i="8"/>
  <c r="AR175" i="8"/>
  <c r="AV171" i="2"/>
  <c r="AW171" i="2"/>
  <c r="AZ172" i="2"/>
  <c r="AO173" i="2"/>
  <c r="AQ173" i="2" s="1"/>
  <c r="AR172" i="2"/>
  <c r="AU172" i="2" s="1"/>
  <c r="AP172" i="2"/>
  <c r="AV195" i="9" l="1"/>
  <c r="AW195" i="9"/>
  <c r="AZ196" i="9"/>
  <c r="AQ196" i="9"/>
  <c r="AO197" i="9"/>
  <c r="AP196" i="9"/>
  <c r="AR196" i="9"/>
  <c r="AU196" i="9" s="1"/>
  <c r="AX194" i="9"/>
  <c r="AY194" i="9" s="1"/>
  <c r="BA194" i="9" s="1"/>
  <c r="AX170" i="3"/>
  <c r="AY170" i="3" s="1"/>
  <c r="BA170" i="3" s="1"/>
  <c r="AV171" i="3"/>
  <c r="AX171" i="3" s="1"/>
  <c r="AY171" i="3" s="1"/>
  <c r="BA171" i="3" s="1"/>
  <c r="AP173" i="3"/>
  <c r="AO174" i="3"/>
  <c r="AQ173" i="3"/>
  <c r="AZ173" i="3"/>
  <c r="AR173" i="3"/>
  <c r="AU172" i="3"/>
  <c r="AU175" i="8"/>
  <c r="AV175" i="8" s="1"/>
  <c r="AW174" i="8"/>
  <c r="AX174" i="8" s="1"/>
  <c r="AY174" i="8" s="1"/>
  <c r="BA174" i="8" s="1"/>
  <c r="AO177" i="8"/>
  <c r="AZ176" i="8"/>
  <c r="AP176" i="8"/>
  <c r="AR176" i="8"/>
  <c r="AX171" i="2"/>
  <c r="AY171" i="2" s="1"/>
  <c r="BA171" i="2" s="1"/>
  <c r="AZ173" i="2"/>
  <c r="AO174" i="2"/>
  <c r="AQ174" i="2" s="1"/>
  <c r="AP173" i="2"/>
  <c r="AR173" i="2"/>
  <c r="AU173" i="2" s="1"/>
  <c r="AV172" i="2"/>
  <c r="AW172" i="2"/>
  <c r="AX195" i="9" l="1"/>
  <c r="AY195" i="9" s="1"/>
  <c r="BA195" i="9" s="1"/>
  <c r="AZ197" i="9"/>
  <c r="AQ197" i="9"/>
  <c r="AO198" i="9"/>
  <c r="AP197" i="9"/>
  <c r="AR197" i="9"/>
  <c r="AU197" i="9" s="1"/>
  <c r="AV196" i="9"/>
  <c r="AX196" i="9" s="1"/>
  <c r="AY196" i="9" s="1"/>
  <c r="BA196" i="9" s="1"/>
  <c r="AW196" i="9"/>
  <c r="AU173" i="3"/>
  <c r="AW173" i="3" s="1"/>
  <c r="AX172" i="2"/>
  <c r="AY172" i="2" s="1"/>
  <c r="BA172" i="2" s="1"/>
  <c r="AW172" i="3"/>
  <c r="AV172" i="3"/>
  <c r="AR174" i="3"/>
  <c r="AQ174" i="3"/>
  <c r="AZ174" i="3"/>
  <c r="AO175" i="3"/>
  <c r="AP174" i="3"/>
  <c r="AW175" i="8"/>
  <c r="AX175" i="8" s="1"/>
  <c r="AY175" i="8" s="1"/>
  <c r="BA175" i="8" s="1"/>
  <c r="AU176" i="8"/>
  <c r="AW176" i="8" s="1"/>
  <c r="AZ177" i="8"/>
  <c r="AO178" i="8"/>
  <c r="AP177" i="8"/>
  <c r="AR177" i="8"/>
  <c r="AZ174" i="2"/>
  <c r="AO175" i="2"/>
  <c r="AQ175" i="2" s="1"/>
  <c r="AR174" i="2"/>
  <c r="AU174" i="2" s="1"/>
  <c r="AP174" i="2"/>
  <c r="AV173" i="2"/>
  <c r="AW173" i="2"/>
  <c r="AZ198" i="9" l="1"/>
  <c r="AQ198" i="9"/>
  <c r="AO199" i="9"/>
  <c r="AP198" i="9"/>
  <c r="AR198" i="9"/>
  <c r="AU198" i="9" s="1"/>
  <c r="AV197" i="9"/>
  <c r="AW197" i="9"/>
  <c r="AV173" i="3"/>
  <c r="AX173" i="3" s="1"/>
  <c r="AY173" i="3" s="1"/>
  <c r="BA173" i="3" s="1"/>
  <c r="AX172" i="3"/>
  <c r="AY172" i="3" s="1"/>
  <c r="BA172" i="3" s="1"/>
  <c r="AU174" i="3"/>
  <c r="AZ175" i="3"/>
  <c r="AR175" i="3"/>
  <c r="AQ175" i="3"/>
  <c r="AP175" i="3"/>
  <c r="AO176" i="3"/>
  <c r="AU177" i="8"/>
  <c r="AV177" i="8" s="1"/>
  <c r="AV176" i="8"/>
  <c r="AX176" i="8" s="1"/>
  <c r="AY176" i="8" s="1"/>
  <c r="BA176" i="8" s="1"/>
  <c r="AZ178" i="8"/>
  <c r="AO179" i="8"/>
  <c r="AP178" i="8"/>
  <c r="AR178" i="8"/>
  <c r="AU178" i="8" s="1"/>
  <c r="AX173" i="2"/>
  <c r="AY173" i="2" s="1"/>
  <c r="BA173" i="2" s="1"/>
  <c r="AV174" i="2"/>
  <c r="AW174" i="2"/>
  <c r="AZ175" i="2"/>
  <c r="AO176" i="2"/>
  <c r="AQ176" i="2" s="1"/>
  <c r="AR175" i="2"/>
  <c r="AU175" i="2" s="1"/>
  <c r="AP175" i="2"/>
  <c r="AX197" i="9" l="1"/>
  <c r="AY197" i="9" s="1"/>
  <c r="BA197" i="9" s="1"/>
  <c r="AV198" i="9"/>
  <c r="AW198" i="9"/>
  <c r="AZ199" i="9"/>
  <c r="AQ199" i="9"/>
  <c r="AO200" i="9"/>
  <c r="AP199" i="9"/>
  <c r="AR199" i="9"/>
  <c r="AU199" i="9" s="1"/>
  <c r="AU175" i="3"/>
  <c r="AW175" i="3" s="1"/>
  <c r="AX174" i="2"/>
  <c r="AY174" i="2" s="1"/>
  <c r="BA174" i="2" s="1"/>
  <c r="AQ176" i="3"/>
  <c r="AZ176" i="3"/>
  <c r="AR176" i="3"/>
  <c r="AO177" i="3"/>
  <c r="AP176" i="3"/>
  <c r="AW174" i="3"/>
  <c r="AV174" i="3"/>
  <c r="AW177" i="8"/>
  <c r="AX177" i="8" s="1"/>
  <c r="AY177" i="8" s="1"/>
  <c r="BA177" i="8" s="1"/>
  <c r="AZ179" i="8"/>
  <c r="AO180" i="8"/>
  <c r="AP179" i="8"/>
  <c r="AR179" i="8"/>
  <c r="AV178" i="8"/>
  <c r="AW178" i="8"/>
  <c r="AZ176" i="2"/>
  <c r="AO177" i="2"/>
  <c r="AQ177" i="2" s="1"/>
  <c r="AR176" i="2"/>
  <c r="AU176" i="2" s="1"/>
  <c r="AP176" i="2"/>
  <c r="AV175" i="2"/>
  <c r="AW175" i="2"/>
  <c r="AX198" i="9" l="1"/>
  <c r="AY198" i="9" s="1"/>
  <c r="BA198" i="9" s="1"/>
  <c r="AV199" i="9"/>
  <c r="AW199" i="9"/>
  <c r="AZ200" i="9"/>
  <c r="AQ200" i="9"/>
  <c r="AO201" i="9"/>
  <c r="AP200" i="9"/>
  <c r="AR200" i="9"/>
  <c r="AU200" i="9" s="1"/>
  <c r="AX174" i="3"/>
  <c r="AY174" i="3" s="1"/>
  <c r="BA174" i="3" s="1"/>
  <c r="AV175" i="3"/>
  <c r="AX175" i="3" s="1"/>
  <c r="AY175" i="3" s="1"/>
  <c r="BA175" i="3" s="1"/>
  <c r="AU176" i="3"/>
  <c r="AV176" i="3" s="1"/>
  <c r="AR177" i="3"/>
  <c r="AQ177" i="3"/>
  <c r="AP177" i="3"/>
  <c r="AO178" i="3"/>
  <c r="AZ177" i="3"/>
  <c r="AX175" i="2"/>
  <c r="AY175" i="2" s="1"/>
  <c r="BA175" i="2" s="1"/>
  <c r="AU179" i="8"/>
  <c r="AV179" i="8" s="1"/>
  <c r="AX178" i="8"/>
  <c r="AY178" i="8" s="1"/>
  <c r="BA178" i="8" s="1"/>
  <c r="AO181" i="8"/>
  <c r="AZ180" i="8"/>
  <c r="AP180" i="8"/>
  <c r="AR180" i="8"/>
  <c r="AV176" i="2"/>
  <c r="AW176" i="2"/>
  <c r="AZ177" i="2"/>
  <c r="AO178" i="2"/>
  <c r="AQ178" i="2" s="1"/>
  <c r="AP177" i="2"/>
  <c r="AR177" i="2"/>
  <c r="AU177" i="2" s="1"/>
  <c r="AX199" i="9" l="1"/>
  <c r="AY199" i="9" s="1"/>
  <c r="BA199" i="9" s="1"/>
  <c r="AV200" i="9"/>
  <c r="AW200" i="9"/>
  <c r="AZ201" i="9"/>
  <c r="AQ201" i="9"/>
  <c r="AO202" i="9"/>
  <c r="AP201" i="9"/>
  <c r="AR201" i="9"/>
  <c r="AU201" i="9" s="1"/>
  <c r="AU177" i="3"/>
  <c r="AV177" i="3" s="1"/>
  <c r="AW176" i="3"/>
  <c r="AX176" i="3" s="1"/>
  <c r="AY176" i="3" s="1"/>
  <c r="BA176" i="3" s="1"/>
  <c r="AP178" i="3"/>
  <c r="AQ178" i="3"/>
  <c r="AR178" i="3"/>
  <c r="AZ178" i="3"/>
  <c r="AO179" i="3"/>
  <c r="AX176" i="2"/>
  <c r="AY176" i="2" s="1"/>
  <c r="BA176" i="2" s="1"/>
  <c r="AW179" i="8"/>
  <c r="AX179" i="8" s="1"/>
  <c r="AY179" i="8" s="1"/>
  <c r="BA179" i="8" s="1"/>
  <c r="AU180" i="8"/>
  <c r="AW180" i="8" s="1"/>
  <c r="AO182" i="8"/>
  <c r="AZ181" i="8"/>
  <c r="AP181" i="8"/>
  <c r="AR181" i="8"/>
  <c r="AZ178" i="2"/>
  <c r="AO179" i="2"/>
  <c r="AQ179" i="2" s="1"/>
  <c r="AR178" i="2"/>
  <c r="AU178" i="2" s="1"/>
  <c r="AP178" i="2"/>
  <c r="AV177" i="2"/>
  <c r="AW177" i="2"/>
  <c r="AX200" i="9" l="1"/>
  <c r="AY200" i="9" s="1"/>
  <c r="BA200" i="9" s="1"/>
  <c r="AV201" i="9"/>
  <c r="AW201" i="9"/>
  <c r="AZ202" i="9"/>
  <c r="AQ202" i="9"/>
  <c r="AO203" i="9"/>
  <c r="AP202" i="9"/>
  <c r="AR202" i="9"/>
  <c r="AU202" i="9" s="1"/>
  <c r="AU178" i="3"/>
  <c r="AV178" i="3" s="1"/>
  <c r="AW177" i="3"/>
  <c r="AX177" i="3" s="1"/>
  <c r="AY177" i="3" s="1"/>
  <c r="BA177" i="3" s="1"/>
  <c r="AX177" i="2"/>
  <c r="AY177" i="2" s="1"/>
  <c r="BA177" i="2" s="1"/>
  <c r="AP179" i="3"/>
  <c r="AO180" i="3"/>
  <c r="AQ179" i="3"/>
  <c r="AZ179" i="3"/>
  <c r="AR179" i="3"/>
  <c r="AU181" i="8"/>
  <c r="AW181" i="8" s="1"/>
  <c r="AV180" i="8"/>
  <c r="AX180" i="8" s="1"/>
  <c r="AY180" i="8" s="1"/>
  <c r="BA180" i="8" s="1"/>
  <c r="AZ182" i="8"/>
  <c r="AO183" i="8"/>
  <c r="AP182" i="8"/>
  <c r="AR182" i="8"/>
  <c r="AV178" i="2"/>
  <c r="AW178" i="2"/>
  <c r="AZ179" i="2"/>
  <c r="AO180" i="2"/>
  <c r="AQ180" i="2" s="1"/>
  <c r="AR179" i="2"/>
  <c r="AU179" i="2" s="1"/>
  <c r="AP179" i="2"/>
  <c r="AZ203" i="9" l="1"/>
  <c r="AQ203" i="9"/>
  <c r="AO204" i="9"/>
  <c r="AP203" i="9"/>
  <c r="AR203" i="9"/>
  <c r="AU203" i="9" s="1"/>
  <c r="AV202" i="9"/>
  <c r="AW202" i="9"/>
  <c r="AX201" i="9"/>
  <c r="AY201" i="9" s="1"/>
  <c r="BA201" i="9" s="1"/>
  <c r="AW178" i="3"/>
  <c r="AX178" i="3" s="1"/>
  <c r="AY178" i="3" s="1"/>
  <c r="BA178" i="3" s="1"/>
  <c r="AU179" i="3"/>
  <c r="AV179" i="3" s="1"/>
  <c r="AX178" i="2"/>
  <c r="AY178" i="2" s="1"/>
  <c r="BA178" i="2" s="1"/>
  <c r="AQ180" i="3"/>
  <c r="AR180" i="3"/>
  <c r="AZ180" i="3"/>
  <c r="AO181" i="3"/>
  <c r="AP180" i="3"/>
  <c r="AU182" i="8"/>
  <c r="AV182" i="8" s="1"/>
  <c r="AV181" i="8"/>
  <c r="AX181" i="8" s="1"/>
  <c r="AY181" i="8" s="1"/>
  <c r="BA181" i="8" s="1"/>
  <c r="AZ183" i="8"/>
  <c r="AO184" i="8"/>
  <c r="AP183" i="8"/>
  <c r="AR183" i="8"/>
  <c r="AZ180" i="2"/>
  <c r="AO181" i="2"/>
  <c r="AQ181" i="2" s="1"/>
  <c r="AR180" i="2"/>
  <c r="AU180" i="2" s="1"/>
  <c r="AP180" i="2"/>
  <c r="AV179" i="2"/>
  <c r="AW179" i="2"/>
  <c r="AX202" i="9" l="1"/>
  <c r="AY202" i="9" s="1"/>
  <c r="BA202" i="9" s="1"/>
  <c r="AZ204" i="9"/>
  <c r="AQ204" i="9"/>
  <c r="AO205" i="9"/>
  <c r="AP204" i="9"/>
  <c r="AR204" i="9"/>
  <c r="AU204" i="9" s="1"/>
  <c r="AV203" i="9"/>
  <c r="AW203" i="9"/>
  <c r="AW179" i="3"/>
  <c r="AX179" i="3" s="1"/>
  <c r="AY179" i="3" s="1"/>
  <c r="BA179" i="3" s="1"/>
  <c r="AU180" i="3"/>
  <c r="AV180" i="3" s="1"/>
  <c r="AZ181" i="3"/>
  <c r="AR181" i="3"/>
  <c r="AP181" i="3"/>
  <c r="AO182" i="3"/>
  <c r="AQ181" i="3"/>
  <c r="AW182" i="8"/>
  <c r="AX182" i="8" s="1"/>
  <c r="AY182" i="8" s="1"/>
  <c r="BA182" i="8" s="1"/>
  <c r="AU183" i="8"/>
  <c r="AV183" i="8" s="1"/>
  <c r="AO185" i="8"/>
  <c r="AZ184" i="8"/>
  <c r="AP184" i="8"/>
  <c r="AR184" i="8"/>
  <c r="AV180" i="2"/>
  <c r="AW180" i="2"/>
  <c r="AZ181" i="2"/>
  <c r="AO182" i="2"/>
  <c r="AQ182" i="2" s="1"/>
  <c r="AP181" i="2"/>
  <c r="AR181" i="2"/>
  <c r="AU181" i="2" s="1"/>
  <c r="AX179" i="2"/>
  <c r="AY179" i="2" s="1"/>
  <c r="BA179" i="2" s="1"/>
  <c r="AX203" i="9" l="1"/>
  <c r="AY203" i="9" s="1"/>
  <c r="BA203" i="9" s="1"/>
  <c r="AZ205" i="9"/>
  <c r="AQ205" i="9"/>
  <c r="AO206" i="9"/>
  <c r="AP205" i="9"/>
  <c r="AR205" i="9"/>
  <c r="AU205" i="9" s="1"/>
  <c r="AV204" i="9"/>
  <c r="AW204" i="9"/>
  <c r="AW180" i="3"/>
  <c r="AX180" i="3" s="1"/>
  <c r="AY180" i="3" s="1"/>
  <c r="BA180" i="3" s="1"/>
  <c r="AU181" i="3"/>
  <c r="AW181" i="3" s="1"/>
  <c r="AX180" i="2"/>
  <c r="AY180" i="2" s="1"/>
  <c r="BA180" i="2" s="1"/>
  <c r="AP182" i="3"/>
  <c r="AQ182" i="3"/>
  <c r="AZ182" i="3"/>
  <c r="AO183" i="3"/>
  <c r="AR182" i="3"/>
  <c r="AW183" i="8"/>
  <c r="AX183" i="8" s="1"/>
  <c r="AY183" i="8" s="1"/>
  <c r="BA183" i="8" s="1"/>
  <c r="AU184" i="8"/>
  <c r="AW184" i="8" s="1"/>
  <c r="AO186" i="8"/>
  <c r="AZ185" i="8"/>
  <c r="AP185" i="8"/>
  <c r="AR185" i="8"/>
  <c r="AV181" i="2"/>
  <c r="AW181" i="2"/>
  <c r="AZ182" i="2"/>
  <c r="AO183" i="2"/>
  <c r="AQ183" i="2" s="1"/>
  <c r="AR182" i="2"/>
  <c r="AU182" i="2" s="1"/>
  <c r="AP182" i="2"/>
  <c r="AX204" i="9" l="1"/>
  <c r="AY204" i="9" s="1"/>
  <c r="BA204" i="9" s="1"/>
  <c r="AZ206" i="9"/>
  <c r="AQ206" i="9"/>
  <c r="AO207" i="9"/>
  <c r="AP206" i="9"/>
  <c r="AR206" i="9"/>
  <c r="AU206" i="9" s="1"/>
  <c r="AV205" i="9"/>
  <c r="AW205" i="9"/>
  <c r="AV181" i="3"/>
  <c r="AX181" i="3" s="1"/>
  <c r="AY181" i="3" s="1"/>
  <c r="BA181" i="3" s="1"/>
  <c r="AU182" i="3"/>
  <c r="AV182" i="3" s="1"/>
  <c r="AQ183" i="3"/>
  <c r="AP183" i="3"/>
  <c r="AO184" i="3"/>
  <c r="AZ183" i="3"/>
  <c r="AR183" i="3"/>
  <c r="AU185" i="8"/>
  <c r="AW185" i="8" s="1"/>
  <c r="AV184" i="8"/>
  <c r="AX184" i="8" s="1"/>
  <c r="AY184" i="8" s="1"/>
  <c r="BA184" i="8" s="1"/>
  <c r="AZ186" i="8"/>
  <c r="AO187" i="8"/>
  <c r="AP186" i="8"/>
  <c r="AR186" i="8"/>
  <c r="AX181" i="2"/>
  <c r="AY181" i="2" s="1"/>
  <c r="BA181" i="2" s="1"/>
  <c r="AZ183" i="2"/>
  <c r="AO184" i="2"/>
  <c r="AQ184" i="2" s="1"/>
  <c r="AR183" i="2"/>
  <c r="AU183" i="2" s="1"/>
  <c r="AP183" i="2"/>
  <c r="AV182" i="2"/>
  <c r="AW182" i="2"/>
  <c r="AX205" i="9" l="1"/>
  <c r="AY205" i="9" s="1"/>
  <c r="BA205" i="9" s="1"/>
  <c r="AV206" i="9"/>
  <c r="AW206" i="9"/>
  <c r="AZ207" i="9"/>
  <c r="AQ207" i="9"/>
  <c r="AO208" i="9"/>
  <c r="AP207" i="9"/>
  <c r="AR207" i="9"/>
  <c r="AU207" i="9" s="1"/>
  <c r="AW182" i="3"/>
  <c r="AX182" i="3" s="1"/>
  <c r="AY182" i="3" s="1"/>
  <c r="BA182" i="3" s="1"/>
  <c r="AR184" i="3"/>
  <c r="AZ184" i="3"/>
  <c r="AO185" i="3"/>
  <c r="AQ184" i="3"/>
  <c r="AP184" i="3"/>
  <c r="AU183" i="3"/>
  <c r="AU186" i="8"/>
  <c r="AV186" i="8" s="1"/>
  <c r="AV185" i="8"/>
  <c r="AX185" i="8" s="1"/>
  <c r="AY185" i="8" s="1"/>
  <c r="BA185" i="8" s="1"/>
  <c r="AZ187" i="8"/>
  <c r="AO188" i="8"/>
  <c r="AP187" i="8"/>
  <c r="AR187" i="8"/>
  <c r="AX182" i="2"/>
  <c r="AY182" i="2" s="1"/>
  <c r="BA182" i="2" s="1"/>
  <c r="AV183" i="2"/>
  <c r="AW183" i="2"/>
  <c r="AR184" i="2"/>
  <c r="AO185" i="2"/>
  <c r="AQ185" i="2" s="1"/>
  <c r="AP184" i="2"/>
  <c r="AZ184" i="2"/>
  <c r="AX206" i="9" l="1"/>
  <c r="AY206" i="9" s="1"/>
  <c r="BA206" i="9" s="1"/>
  <c r="AV207" i="9"/>
  <c r="AW207" i="9"/>
  <c r="AZ208" i="9"/>
  <c r="AQ208" i="9"/>
  <c r="AO209" i="9"/>
  <c r="AP208" i="9"/>
  <c r="AR208" i="9"/>
  <c r="AU208" i="9" s="1"/>
  <c r="AU184" i="3"/>
  <c r="AV184" i="3" s="1"/>
  <c r="AR185" i="3"/>
  <c r="AQ185" i="3"/>
  <c r="AP185" i="3"/>
  <c r="AZ185" i="3"/>
  <c r="AO186" i="3"/>
  <c r="AV183" i="3"/>
  <c r="AW183" i="3"/>
  <c r="AW186" i="8"/>
  <c r="AX186" i="8" s="1"/>
  <c r="AY186" i="8" s="1"/>
  <c r="BA186" i="8" s="1"/>
  <c r="AU187" i="8"/>
  <c r="AV187" i="8" s="1"/>
  <c r="AZ188" i="8"/>
  <c r="AO189" i="8"/>
  <c r="AP188" i="8"/>
  <c r="AR188" i="8"/>
  <c r="AU184" i="2"/>
  <c r="AR185" i="2"/>
  <c r="AU185" i="2" s="1"/>
  <c r="AO186" i="2"/>
  <c r="AQ186" i="2" s="1"/>
  <c r="AP185" i="2"/>
  <c r="AZ185" i="2"/>
  <c r="AX183" i="2"/>
  <c r="AY183" i="2" s="1"/>
  <c r="BA183" i="2" s="1"/>
  <c r="AV208" i="9" l="1"/>
  <c r="AW208" i="9"/>
  <c r="AZ209" i="9"/>
  <c r="AQ209" i="9"/>
  <c r="AO210" i="9"/>
  <c r="AP209" i="9"/>
  <c r="AR209" i="9"/>
  <c r="AU209" i="9" s="1"/>
  <c r="AX207" i="9"/>
  <c r="AY207" i="9" s="1"/>
  <c r="BA207" i="9" s="1"/>
  <c r="AW184" i="3"/>
  <c r="AX184" i="3" s="1"/>
  <c r="AY184" i="3" s="1"/>
  <c r="BA184" i="3" s="1"/>
  <c r="AU185" i="3"/>
  <c r="AV185" i="3" s="1"/>
  <c r="AX183" i="3"/>
  <c r="AY183" i="3" s="1"/>
  <c r="BA183" i="3" s="1"/>
  <c r="AQ186" i="3"/>
  <c r="AZ186" i="3"/>
  <c r="AO187" i="3"/>
  <c r="AP186" i="3"/>
  <c r="AR186" i="3"/>
  <c r="AU188" i="8"/>
  <c r="AV188" i="8" s="1"/>
  <c r="AW187" i="8"/>
  <c r="AX187" i="8" s="1"/>
  <c r="AY187" i="8" s="1"/>
  <c r="BA187" i="8" s="1"/>
  <c r="AZ189" i="8"/>
  <c r="AO190" i="8"/>
  <c r="AP189" i="8"/>
  <c r="AR189" i="8"/>
  <c r="AV185" i="2"/>
  <c r="AW185" i="2"/>
  <c r="AR186" i="2"/>
  <c r="AU186" i="2" s="1"/>
  <c r="AZ186" i="2"/>
  <c r="AP186" i="2"/>
  <c r="AO187" i="2"/>
  <c r="AQ187" i="2" s="1"/>
  <c r="AV184" i="2"/>
  <c r="AW184" i="2"/>
  <c r="AX208" i="9" l="1"/>
  <c r="AY208" i="9" s="1"/>
  <c r="BA208" i="9" s="1"/>
  <c r="AV209" i="9"/>
  <c r="AW209" i="9"/>
  <c r="AZ210" i="9"/>
  <c r="AQ210" i="9"/>
  <c r="AO211" i="9"/>
  <c r="AP210" i="9"/>
  <c r="AR210" i="9"/>
  <c r="AU210" i="9" s="1"/>
  <c r="AW185" i="3"/>
  <c r="AX185" i="3" s="1"/>
  <c r="AY185" i="3" s="1"/>
  <c r="BA185" i="3" s="1"/>
  <c r="AR187" i="3"/>
  <c r="AQ187" i="3"/>
  <c r="AP187" i="3"/>
  <c r="AO188" i="3"/>
  <c r="AZ187" i="3"/>
  <c r="AU186" i="3"/>
  <c r="AW188" i="8"/>
  <c r="AX188" i="8" s="1"/>
  <c r="AY188" i="8" s="1"/>
  <c r="BA188" i="8" s="1"/>
  <c r="AU189" i="8"/>
  <c r="AV189" i="8" s="1"/>
  <c r="AZ190" i="8"/>
  <c r="AO191" i="8"/>
  <c r="AP190" i="8"/>
  <c r="AR190" i="8"/>
  <c r="AX184" i="2"/>
  <c r="AY184" i="2" s="1"/>
  <c r="BA184" i="2" s="1"/>
  <c r="AR187" i="2"/>
  <c r="AO188" i="2"/>
  <c r="AQ188" i="2" s="1"/>
  <c r="AP187" i="2"/>
  <c r="AZ187" i="2"/>
  <c r="AV186" i="2"/>
  <c r="AW186" i="2"/>
  <c r="AX185" i="2"/>
  <c r="AY185" i="2" s="1"/>
  <c r="BA185" i="2" s="1"/>
  <c r="AX209" i="9" l="1"/>
  <c r="AY209" i="9" s="1"/>
  <c r="BA209" i="9" s="1"/>
  <c r="AV210" i="9"/>
  <c r="AW210" i="9"/>
  <c r="AZ211" i="9"/>
  <c r="AQ211" i="9"/>
  <c r="AO212" i="9"/>
  <c r="AP211" i="9"/>
  <c r="AR211" i="9"/>
  <c r="AU211" i="9" s="1"/>
  <c r="AU187" i="3"/>
  <c r="AV187" i="3" s="1"/>
  <c r="AZ188" i="3"/>
  <c r="AQ188" i="3"/>
  <c r="AO189" i="3"/>
  <c r="AR188" i="3"/>
  <c r="AP188" i="3"/>
  <c r="AV186" i="3"/>
  <c r="AW186" i="3"/>
  <c r="AW189" i="8"/>
  <c r="AX189" i="8" s="1"/>
  <c r="AY189" i="8" s="1"/>
  <c r="BA189" i="8" s="1"/>
  <c r="AU190" i="8"/>
  <c r="AV190" i="8" s="1"/>
  <c r="AZ191" i="8"/>
  <c r="AO192" i="8"/>
  <c r="AP191" i="8"/>
  <c r="AR191" i="8"/>
  <c r="AU191" i="8" s="1"/>
  <c r="AX186" i="2"/>
  <c r="AY186" i="2" s="1"/>
  <c r="BA186" i="2" s="1"/>
  <c r="AR188" i="2"/>
  <c r="AO189" i="2"/>
  <c r="AQ189" i="2" s="1"/>
  <c r="AP188" i="2"/>
  <c r="AZ188" i="2"/>
  <c r="K82" i="2" s="1"/>
  <c r="AU187" i="2"/>
  <c r="AZ212" i="9" l="1"/>
  <c r="AQ212" i="9"/>
  <c r="AO213" i="9"/>
  <c r="AP212" i="9"/>
  <c r="AR212" i="9"/>
  <c r="AV211" i="9"/>
  <c r="AW211" i="9"/>
  <c r="AX210" i="9"/>
  <c r="AY210" i="9" s="1"/>
  <c r="BA210" i="9" s="1"/>
  <c r="H82" i="2"/>
  <c r="I82" i="2"/>
  <c r="J82" i="2"/>
  <c r="H86" i="3"/>
  <c r="I86" i="3"/>
  <c r="J86" i="3"/>
  <c r="K86" i="3"/>
  <c r="AU188" i="3"/>
  <c r="AV188" i="3" s="1"/>
  <c r="AW187" i="3"/>
  <c r="AX187" i="3" s="1"/>
  <c r="AY187" i="3" s="1"/>
  <c r="BA187" i="3" s="1"/>
  <c r="AX186" i="3"/>
  <c r="AY186" i="3" s="1"/>
  <c r="BA186" i="3" s="1"/>
  <c r="AR189" i="3"/>
  <c r="AP189" i="3"/>
  <c r="AQ189" i="3"/>
  <c r="AZ189" i="3"/>
  <c r="AO190" i="3"/>
  <c r="AW190" i="8"/>
  <c r="AX190" i="8" s="1"/>
  <c r="AY190" i="8" s="1"/>
  <c r="BA190" i="8" s="1"/>
  <c r="AZ192" i="8"/>
  <c r="AO193" i="8"/>
  <c r="AP192" i="8"/>
  <c r="AR192" i="8"/>
  <c r="AV191" i="8"/>
  <c r="AW191" i="8"/>
  <c r="AV187" i="2"/>
  <c r="AW187" i="2"/>
  <c r="AR189" i="2"/>
  <c r="AU189" i="2" s="1"/>
  <c r="AO190" i="2"/>
  <c r="AQ190" i="2" s="1"/>
  <c r="AP189" i="2"/>
  <c r="AZ189" i="2"/>
  <c r="AU188" i="2"/>
  <c r="AX211" i="9" l="1"/>
  <c r="AY211" i="9" s="1"/>
  <c r="BA211" i="9" s="1"/>
  <c r="AU212" i="9"/>
  <c r="AV212" i="9" s="1"/>
  <c r="AZ213" i="9"/>
  <c r="AQ213" i="9"/>
  <c r="AO214" i="9"/>
  <c r="AP213" i="9"/>
  <c r="AR213" i="9"/>
  <c r="AU213" i="9" s="1"/>
  <c r="D83" i="2"/>
  <c r="D87" i="3"/>
  <c r="AX191" i="8"/>
  <c r="AY191" i="8" s="1"/>
  <c r="BA191" i="8" s="1"/>
  <c r="AW188" i="3"/>
  <c r="AX188" i="3" s="1"/>
  <c r="AY188" i="3" s="1"/>
  <c r="BA188" i="3" s="1"/>
  <c r="AX187" i="2"/>
  <c r="AY187" i="2" s="1"/>
  <c r="BA187" i="2" s="1"/>
  <c r="AR190" i="3"/>
  <c r="AZ190" i="3"/>
  <c r="AQ190" i="3"/>
  <c r="AP190" i="3"/>
  <c r="AO191" i="3"/>
  <c r="AU189" i="3"/>
  <c r="AU192" i="8"/>
  <c r="AW192" i="8" s="1"/>
  <c r="AZ193" i="8"/>
  <c r="AO194" i="8"/>
  <c r="AP193" i="8"/>
  <c r="AR193" i="8"/>
  <c r="AV188" i="2"/>
  <c r="AW188" i="2"/>
  <c r="AR190" i="2"/>
  <c r="AO191" i="2"/>
  <c r="AQ191" i="2" s="1"/>
  <c r="AP190" i="2"/>
  <c r="AZ190" i="2"/>
  <c r="AV189" i="2"/>
  <c r="AW189" i="2"/>
  <c r="AW212" i="9" l="1"/>
  <c r="AX212" i="9" s="1"/>
  <c r="AY212" i="9" s="1"/>
  <c r="BA212" i="9" s="1"/>
  <c r="AV213" i="9"/>
  <c r="AW213" i="9"/>
  <c r="AZ214" i="9"/>
  <c r="AQ214" i="9"/>
  <c r="AO215" i="9"/>
  <c r="AP214" i="9"/>
  <c r="AR214" i="9"/>
  <c r="AU190" i="3"/>
  <c r="AW190" i="3" s="1"/>
  <c r="AX188" i="2"/>
  <c r="AY188" i="2" s="1"/>
  <c r="BA188" i="2" s="1"/>
  <c r="AV189" i="3"/>
  <c r="AW189" i="3"/>
  <c r="AP191" i="3"/>
  <c r="AZ191" i="3"/>
  <c r="AO192" i="3"/>
  <c r="AR191" i="3"/>
  <c r="AQ191" i="3"/>
  <c r="AV192" i="8"/>
  <c r="AX192" i="8" s="1"/>
  <c r="AY192" i="8" s="1"/>
  <c r="BA192" i="8" s="1"/>
  <c r="AU193" i="8"/>
  <c r="AV193" i="8" s="1"/>
  <c r="AZ194" i="8"/>
  <c r="AO195" i="8"/>
  <c r="AP194" i="8"/>
  <c r="AR194" i="8"/>
  <c r="AU190" i="2"/>
  <c r="AX189" i="2"/>
  <c r="AY189" i="2" s="1"/>
  <c r="BA189" i="2" s="1"/>
  <c r="AR191" i="2"/>
  <c r="AZ191" i="2"/>
  <c r="AO192" i="2"/>
  <c r="AQ192" i="2" s="1"/>
  <c r="AP191" i="2"/>
  <c r="AX213" i="9" l="1"/>
  <c r="AY213" i="9" s="1"/>
  <c r="BA213" i="9" s="1"/>
  <c r="AU214" i="9"/>
  <c r="AW214" i="9" s="1"/>
  <c r="AZ215" i="9"/>
  <c r="AQ215" i="9"/>
  <c r="AO216" i="9"/>
  <c r="AP215" i="9"/>
  <c r="AR215" i="9"/>
  <c r="AU215" i="9" s="1"/>
  <c r="AX189" i="3"/>
  <c r="AY189" i="3" s="1"/>
  <c r="BA189" i="3" s="1"/>
  <c r="AU191" i="3"/>
  <c r="AW191" i="3" s="1"/>
  <c r="AV190" i="3"/>
  <c r="AX190" i="3" s="1"/>
  <c r="AY190" i="3" s="1"/>
  <c r="BA190" i="3" s="1"/>
  <c r="AO193" i="3"/>
  <c r="AR192" i="3"/>
  <c r="AZ192" i="3"/>
  <c r="AQ192" i="3"/>
  <c r="AP192" i="3"/>
  <c r="AW193" i="8"/>
  <c r="AX193" i="8" s="1"/>
  <c r="AY193" i="8" s="1"/>
  <c r="BA193" i="8" s="1"/>
  <c r="AU194" i="8"/>
  <c r="AV194" i="8" s="1"/>
  <c r="AZ195" i="8"/>
  <c r="AO196" i="8"/>
  <c r="AP195" i="8"/>
  <c r="AR195" i="8"/>
  <c r="AU191" i="2"/>
  <c r="AR192" i="2"/>
  <c r="AU192" i="2" s="1"/>
  <c r="AO193" i="2"/>
  <c r="AQ193" i="2" s="1"/>
  <c r="AP192" i="2"/>
  <c r="AZ192" i="2"/>
  <c r="AV190" i="2"/>
  <c r="AW190" i="2"/>
  <c r="AV214" i="9" l="1"/>
  <c r="AX214" i="9" s="1"/>
  <c r="AY214" i="9" s="1"/>
  <c r="BA214" i="9" s="1"/>
  <c r="AU192" i="3"/>
  <c r="AV215" i="9"/>
  <c r="AW215" i="9"/>
  <c r="AZ216" i="9"/>
  <c r="AQ216" i="9"/>
  <c r="AO217" i="9"/>
  <c r="AP216" i="9"/>
  <c r="AR216" i="9"/>
  <c r="AU216" i="9" s="1"/>
  <c r="AV191" i="3"/>
  <c r="AX191" i="3" s="1"/>
  <c r="AY191" i="3" s="1"/>
  <c r="BA191" i="3" s="1"/>
  <c r="AW192" i="3"/>
  <c r="AV192" i="3"/>
  <c r="AP193" i="3"/>
  <c r="AZ193" i="3"/>
  <c r="AR193" i="3"/>
  <c r="AQ193" i="3"/>
  <c r="AO194" i="3"/>
  <c r="AW194" i="8"/>
  <c r="AX194" i="8" s="1"/>
  <c r="AY194" i="8" s="1"/>
  <c r="BA194" i="8" s="1"/>
  <c r="AU195" i="8"/>
  <c r="AV195" i="8" s="1"/>
  <c r="AZ196" i="8"/>
  <c r="AO197" i="8"/>
  <c r="AP196" i="8"/>
  <c r="AR196" i="8"/>
  <c r="AX190" i="2"/>
  <c r="AY190" i="2" s="1"/>
  <c r="BA190" i="2" s="1"/>
  <c r="AV192" i="2"/>
  <c r="AW192" i="2"/>
  <c r="AR193" i="2"/>
  <c r="AU193" i="2" s="1"/>
  <c r="AO194" i="2"/>
  <c r="AQ194" i="2" s="1"/>
  <c r="AP193" i="2"/>
  <c r="AZ193" i="2"/>
  <c r="AV191" i="2"/>
  <c r="AW191" i="2"/>
  <c r="AX215" i="9" l="1"/>
  <c r="AY215" i="9" s="1"/>
  <c r="BA215" i="9" s="1"/>
  <c r="AV216" i="9"/>
  <c r="AW216" i="9"/>
  <c r="AZ217" i="9"/>
  <c r="AQ217" i="9"/>
  <c r="AO218" i="9"/>
  <c r="AP217" i="9"/>
  <c r="AR217" i="9"/>
  <c r="AU217" i="9" s="1"/>
  <c r="AX192" i="3"/>
  <c r="AY192" i="3" s="1"/>
  <c r="BA192" i="3" s="1"/>
  <c r="AO195" i="3"/>
  <c r="AQ194" i="3"/>
  <c r="AR194" i="3"/>
  <c r="AP194" i="3"/>
  <c r="AZ194" i="3"/>
  <c r="AU193" i="3"/>
  <c r="AW195" i="8"/>
  <c r="AX195" i="8" s="1"/>
  <c r="AY195" i="8" s="1"/>
  <c r="BA195" i="8" s="1"/>
  <c r="AU196" i="8"/>
  <c r="AV196" i="8" s="1"/>
  <c r="AZ197" i="8"/>
  <c r="AO198" i="8"/>
  <c r="AP197" i="8"/>
  <c r="AR197" i="8"/>
  <c r="AU197" i="8" s="1"/>
  <c r="AX192" i="2"/>
  <c r="AY192" i="2" s="1"/>
  <c r="BA192" i="2" s="1"/>
  <c r="AV193" i="2"/>
  <c r="AW193" i="2"/>
  <c r="AR194" i="2"/>
  <c r="AO195" i="2"/>
  <c r="AQ195" i="2" s="1"/>
  <c r="AP194" i="2"/>
  <c r="AZ194" i="2"/>
  <c r="AX191" i="2"/>
  <c r="AY191" i="2" s="1"/>
  <c r="BA191" i="2" s="1"/>
  <c r="AV217" i="9" l="1"/>
  <c r="AW217" i="9"/>
  <c r="AZ218" i="9"/>
  <c r="AQ218" i="9"/>
  <c r="AO219" i="9"/>
  <c r="AP218" i="9"/>
  <c r="AR218" i="9"/>
  <c r="AU218" i="9" s="1"/>
  <c r="AX216" i="9"/>
  <c r="AY216" i="9" s="1"/>
  <c r="BA216" i="9" s="1"/>
  <c r="AU194" i="3"/>
  <c r="AV194" i="3" s="1"/>
  <c r="AX193" i="2"/>
  <c r="AY193" i="2" s="1"/>
  <c r="BA193" i="2" s="1"/>
  <c r="AW193" i="3"/>
  <c r="AV193" i="3"/>
  <c r="AZ195" i="3"/>
  <c r="AO196" i="3"/>
  <c r="AR195" i="3"/>
  <c r="AP195" i="3"/>
  <c r="AQ195" i="3"/>
  <c r="AW196" i="8"/>
  <c r="AX196" i="8" s="1"/>
  <c r="AY196" i="8" s="1"/>
  <c r="BA196" i="8" s="1"/>
  <c r="AZ198" i="8"/>
  <c r="AO199" i="8"/>
  <c r="AP198" i="8"/>
  <c r="AR198" i="8"/>
  <c r="AV197" i="8"/>
  <c r="AW197" i="8"/>
  <c r="AR195" i="2"/>
  <c r="AU195" i="2" s="1"/>
  <c r="AZ195" i="2"/>
  <c r="AO196" i="2"/>
  <c r="AQ196" i="2" s="1"/>
  <c r="AP195" i="2"/>
  <c r="AU194" i="2"/>
  <c r="AX217" i="9" l="1"/>
  <c r="AY217" i="9" s="1"/>
  <c r="BA217" i="9" s="1"/>
  <c r="AV218" i="9"/>
  <c r="AW218" i="9"/>
  <c r="AZ219" i="9"/>
  <c r="AQ219" i="9"/>
  <c r="AO220" i="9"/>
  <c r="AP219" i="9"/>
  <c r="AR219" i="9"/>
  <c r="AU219" i="9" s="1"/>
  <c r="AW194" i="3"/>
  <c r="AX194" i="3" s="1"/>
  <c r="AY194" i="3" s="1"/>
  <c r="BA194" i="3" s="1"/>
  <c r="AU195" i="3"/>
  <c r="AW195" i="3" s="1"/>
  <c r="AX197" i="8"/>
  <c r="AY197" i="8" s="1"/>
  <c r="BA197" i="8" s="1"/>
  <c r="AX193" i="3"/>
  <c r="AY193" i="3" s="1"/>
  <c r="BA193" i="3" s="1"/>
  <c r="AP196" i="3"/>
  <c r="AZ196" i="3"/>
  <c r="AQ196" i="3"/>
  <c r="AO197" i="3"/>
  <c r="AR196" i="3"/>
  <c r="AU198" i="8"/>
  <c r="AV198" i="8" s="1"/>
  <c r="AZ199" i="8"/>
  <c r="AO200" i="8"/>
  <c r="AP199" i="8"/>
  <c r="AR199" i="8"/>
  <c r="AR196" i="2"/>
  <c r="AU196" i="2" s="1"/>
  <c r="AO197" i="2"/>
  <c r="AQ197" i="2" s="1"/>
  <c r="AP196" i="2"/>
  <c r="AZ196" i="2"/>
  <c r="AV194" i="2"/>
  <c r="AW194" i="2"/>
  <c r="AV195" i="2"/>
  <c r="AW195" i="2"/>
  <c r="AV219" i="9" l="1"/>
  <c r="AW219" i="9"/>
  <c r="AZ220" i="9"/>
  <c r="AQ220" i="9"/>
  <c r="AO221" i="9"/>
  <c r="AP220" i="9"/>
  <c r="AR220" i="9"/>
  <c r="AU220" i="9" s="1"/>
  <c r="K81" i="9"/>
  <c r="J81" i="9"/>
  <c r="AX218" i="9"/>
  <c r="AY218" i="9" s="1"/>
  <c r="BA218" i="9" s="1"/>
  <c r="AV195" i="3"/>
  <c r="AX195" i="3" s="1"/>
  <c r="AY195" i="3" s="1"/>
  <c r="BA195" i="3" s="1"/>
  <c r="AU196" i="3"/>
  <c r="AV196" i="3" s="1"/>
  <c r="AX195" i="2"/>
  <c r="AY195" i="2" s="1"/>
  <c r="BA195" i="2" s="1"/>
  <c r="AX194" i="2"/>
  <c r="AY194" i="2" s="1"/>
  <c r="BA194" i="2" s="1"/>
  <c r="AR197" i="3"/>
  <c r="AQ197" i="3"/>
  <c r="AP197" i="3"/>
  <c r="AZ197" i="3"/>
  <c r="AO198" i="3"/>
  <c r="AW198" i="8"/>
  <c r="AX198" i="8" s="1"/>
  <c r="AY198" i="8" s="1"/>
  <c r="BA198" i="8" s="1"/>
  <c r="AU199" i="8"/>
  <c r="AV199" i="8" s="1"/>
  <c r="AZ200" i="8"/>
  <c r="AO201" i="8"/>
  <c r="AP200" i="8"/>
  <c r="AR200" i="8"/>
  <c r="AR197" i="2"/>
  <c r="AU197" i="2" s="1"/>
  <c r="AO198" i="2"/>
  <c r="AQ198" i="2" s="1"/>
  <c r="AP197" i="2"/>
  <c r="AZ197" i="2"/>
  <c r="AV196" i="2"/>
  <c r="AW196" i="2"/>
  <c r="AX219" i="9" l="1"/>
  <c r="AY219" i="9" s="1"/>
  <c r="BA219" i="9" s="1"/>
  <c r="D82" i="9"/>
  <c r="AV220" i="9"/>
  <c r="AW220" i="9"/>
  <c r="AZ221" i="9"/>
  <c r="AQ221" i="9"/>
  <c r="AO222" i="9"/>
  <c r="AP221" i="9"/>
  <c r="AR221" i="9"/>
  <c r="AU221" i="9" s="1"/>
  <c r="AW196" i="3"/>
  <c r="AX196" i="3" s="1"/>
  <c r="AY196" i="3" s="1"/>
  <c r="BA196" i="3" s="1"/>
  <c r="AX196" i="2"/>
  <c r="AY196" i="2" s="1"/>
  <c r="BA196" i="2" s="1"/>
  <c r="AO199" i="3"/>
  <c r="AQ198" i="3"/>
  <c r="AP198" i="3"/>
  <c r="AR198" i="3"/>
  <c r="AZ198" i="3"/>
  <c r="AU197" i="3"/>
  <c r="AW199" i="8"/>
  <c r="AX199" i="8" s="1"/>
  <c r="AY199" i="8" s="1"/>
  <c r="BA199" i="8" s="1"/>
  <c r="AU200" i="8"/>
  <c r="AV200" i="8" s="1"/>
  <c r="AZ201" i="8"/>
  <c r="AO202" i="8"/>
  <c r="AP201" i="8"/>
  <c r="AR201" i="8"/>
  <c r="AR198" i="2"/>
  <c r="AO199" i="2"/>
  <c r="AQ199" i="2" s="1"/>
  <c r="AP198" i="2"/>
  <c r="AZ198" i="2"/>
  <c r="AV197" i="2"/>
  <c r="AW197" i="2"/>
  <c r="AX220" i="9" l="1"/>
  <c r="AY220" i="9" s="1"/>
  <c r="BA220" i="9" s="1"/>
  <c r="AV221" i="9"/>
  <c r="AW221" i="9"/>
  <c r="AZ222" i="9"/>
  <c r="AQ222" i="9"/>
  <c r="AO223" i="9"/>
  <c r="AP222" i="9"/>
  <c r="AR222" i="9"/>
  <c r="AU222" i="9" s="1"/>
  <c r="AU198" i="3"/>
  <c r="AV198" i="3" s="1"/>
  <c r="AV197" i="3"/>
  <c r="AW197" i="3"/>
  <c r="AO200" i="3"/>
  <c r="AR199" i="3"/>
  <c r="AP199" i="3"/>
  <c r="AQ199" i="3"/>
  <c r="AZ199" i="3"/>
  <c r="AW200" i="8"/>
  <c r="AX200" i="8" s="1"/>
  <c r="AY200" i="8" s="1"/>
  <c r="BA200" i="8" s="1"/>
  <c r="AU201" i="8"/>
  <c r="AV201" i="8" s="1"/>
  <c r="AZ202" i="8"/>
  <c r="AO203" i="8"/>
  <c r="AP202" i="8"/>
  <c r="AR202" i="8"/>
  <c r="AX197" i="2"/>
  <c r="AY197" i="2" s="1"/>
  <c r="BA197" i="2" s="1"/>
  <c r="AR199" i="2"/>
  <c r="AU199" i="2" s="1"/>
  <c r="AZ199" i="2"/>
  <c r="AO200" i="2"/>
  <c r="AQ200" i="2" s="1"/>
  <c r="AP199" i="2"/>
  <c r="AU198" i="2"/>
  <c r="AX221" i="9" l="1"/>
  <c r="AY221" i="9" s="1"/>
  <c r="BA221" i="9" s="1"/>
  <c r="AV222" i="9"/>
  <c r="AW222" i="9"/>
  <c r="AZ223" i="9"/>
  <c r="AQ223" i="9"/>
  <c r="AO224" i="9"/>
  <c r="AP223" i="9"/>
  <c r="AR223" i="9"/>
  <c r="AU223" i="9" s="1"/>
  <c r="AW198" i="3"/>
  <c r="AX198" i="3" s="1"/>
  <c r="AY198" i="3" s="1"/>
  <c r="BA198" i="3" s="1"/>
  <c r="AX197" i="3"/>
  <c r="AY197" i="3" s="1"/>
  <c r="BA197" i="3" s="1"/>
  <c r="AU199" i="3"/>
  <c r="AZ200" i="3"/>
  <c r="AQ200" i="3"/>
  <c r="AP200" i="3"/>
  <c r="AO201" i="3"/>
  <c r="AR200" i="3"/>
  <c r="AW201" i="8"/>
  <c r="AX201" i="8" s="1"/>
  <c r="AY201" i="8" s="1"/>
  <c r="BA201" i="8" s="1"/>
  <c r="AU202" i="8"/>
  <c r="AV202" i="8" s="1"/>
  <c r="AZ203" i="8"/>
  <c r="AO204" i="8"/>
  <c r="AP203" i="8"/>
  <c r="AR203" i="8"/>
  <c r="AR200" i="2"/>
  <c r="AU200" i="2" s="1"/>
  <c r="AO201" i="2"/>
  <c r="AQ201" i="2" s="1"/>
  <c r="AP200" i="2"/>
  <c r="AZ200" i="2"/>
  <c r="AV198" i="2"/>
  <c r="AW198" i="2"/>
  <c r="AV199" i="2"/>
  <c r="AW199" i="2"/>
  <c r="AX222" i="9" l="1"/>
  <c r="AY222" i="9" s="1"/>
  <c r="BA222" i="9" s="1"/>
  <c r="AV223" i="9"/>
  <c r="AW223" i="9"/>
  <c r="AZ224" i="9"/>
  <c r="AQ224" i="9"/>
  <c r="AO225" i="9"/>
  <c r="AP224" i="9"/>
  <c r="AR224" i="9"/>
  <c r="AU224" i="9" s="1"/>
  <c r="AU200" i="3"/>
  <c r="AW200" i="3" s="1"/>
  <c r="AP201" i="3"/>
  <c r="AQ201" i="3"/>
  <c r="AO202" i="3"/>
  <c r="AZ201" i="3"/>
  <c r="AR201" i="3"/>
  <c r="AW199" i="3"/>
  <c r="AV199" i="3"/>
  <c r="AW202" i="8"/>
  <c r="AX202" i="8" s="1"/>
  <c r="AY202" i="8" s="1"/>
  <c r="BA202" i="8" s="1"/>
  <c r="AU203" i="8"/>
  <c r="AV203" i="8" s="1"/>
  <c r="AZ204" i="8"/>
  <c r="AO205" i="8"/>
  <c r="AP204" i="8"/>
  <c r="AR204" i="8"/>
  <c r="AX198" i="2"/>
  <c r="AY198" i="2" s="1"/>
  <c r="BA198" i="2" s="1"/>
  <c r="AX199" i="2"/>
  <c r="AY199" i="2" s="1"/>
  <c r="BA199" i="2" s="1"/>
  <c r="AR201" i="2"/>
  <c r="AU201" i="2" s="1"/>
  <c r="AZ201" i="2"/>
  <c r="AP201" i="2"/>
  <c r="AO202" i="2"/>
  <c r="AQ202" i="2" s="1"/>
  <c r="AV200" i="2"/>
  <c r="AW200" i="2"/>
  <c r="AX223" i="9" l="1"/>
  <c r="AY223" i="9" s="1"/>
  <c r="BA223" i="9" s="1"/>
  <c r="AV224" i="9"/>
  <c r="AW224" i="9"/>
  <c r="AZ225" i="9"/>
  <c r="AQ225" i="9"/>
  <c r="AO226" i="9"/>
  <c r="AP225" i="9"/>
  <c r="AR225" i="9"/>
  <c r="AU225" i="9" s="1"/>
  <c r="AU201" i="3"/>
  <c r="AV201" i="3" s="1"/>
  <c r="AV200" i="3"/>
  <c r="AX200" i="3" s="1"/>
  <c r="AY200" i="3" s="1"/>
  <c r="BA200" i="3" s="1"/>
  <c r="AX199" i="3"/>
  <c r="AY199" i="3" s="1"/>
  <c r="BA199" i="3" s="1"/>
  <c r="AP202" i="3"/>
  <c r="AO203" i="3"/>
  <c r="AZ202" i="3"/>
  <c r="AR202" i="3"/>
  <c r="AQ202" i="3"/>
  <c r="AU204" i="8"/>
  <c r="AV204" i="8" s="1"/>
  <c r="AW203" i="8"/>
  <c r="AX203" i="8" s="1"/>
  <c r="AY203" i="8" s="1"/>
  <c r="BA203" i="8" s="1"/>
  <c r="AZ205" i="8"/>
  <c r="AO206" i="8"/>
  <c r="AP205" i="8"/>
  <c r="AR205" i="8"/>
  <c r="AP202" i="2"/>
  <c r="AO203" i="2"/>
  <c r="AQ203" i="2" s="1"/>
  <c r="AZ202" i="2"/>
  <c r="AR202" i="2"/>
  <c r="AU202" i="2" s="1"/>
  <c r="AX200" i="2"/>
  <c r="AY200" i="2" s="1"/>
  <c r="BA200" i="2" s="1"/>
  <c r="AW201" i="2"/>
  <c r="AV201" i="2"/>
  <c r="AX224" i="9" l="1"/>
  <c r="AY224" i="9" s="1"/>
  <c r="BA224" i="9" s="1"/>
  <c r="AV225" i="9"/>
  <c r="AW225" i="9"/>
  <c r="AZ226" i="9"/>
  <c r="AQ226" i="9"/>
  <c r="AO227" i="9"/>
  <c r="AP226" i="9"/>
  <c r="AR226" i="9"/>
  <c r="AU226" i="9" s="1"/>
  <c r="AW201" i="3"/>
  <c r="AX201" i="3" s="1"/>
  <c r="AY201" i="3" s="1"/>
  <c r="BA201" i="3" s="1"/>
  <c r="AU202" i="3"/>
  <c r="AV202" i="3" s="1"/>
  <c r="AX201" i="2"/>
  <c r="AY201" i="2" s="1"/>
  <c r="BA201" i="2" s="1"/>
  <c r="AO204" i="3"/>
  <c r="AP203" i="3"/>
  <c r="AQ203" i="3"/>
  <c r="AZ203" i="3"/>
  <c r="AR203" i="3"/>
  <c r="AW204" i="8"/>
  <c r="AX204" i="8" s="1"/>
  <c r="AY204" i="8" s="1"/>
  <c r="BA204" i="8" s="1"/>
  <c r="AU205" i="8"/>
  <c r="AV205" i="8" s="1"/>
  <c r="AZ206" i="8"/>
  <c r="AO207" i="8"/>
  <c r="AP206" i="8"/>
  <c r="AR206" i="8"/>
  <c r="AP203" i="2"/>
  <c r="AO204" i="2"/>
  <c r="AQ204" i="2" s="1"/>
  <c r="AR203" i="2"/>
  <c r="AU203" i="2" s="1"/>
  <c r="AZ203" i="2"/>
  <c r="AV202" i="2"/>
  <c r="AW202" i="2"/>
  <c r="AX225" i="9" l="1"/>
  <c r="AY225" i="9" s="1"/>
  <c r="BA225" i="9" s="1"/>
  <c r="AZ227" i="9"/>
  <c r="AQ227" i="9"/>
  <c r="AO228" i="9"/>
  <c r="AP227" i="9"/>
  <c r="AR227" i="9"/>
  <c r="AU227" i="9" s="1"/>
  <c r="AV226" i="9"/>
  <c r="AW226" i="9"/>
  <c r="AW202" i="3"/>
  <c r="AX202" i="3" s="1"/>
  <c r="AY202" i="3" s="1"/>
  <c r="BA202" i="3" s="1"/>
  <c r="AU203" i="3"/>
  <c r="AW203" i="3" s="1"/>
  <c r="AP204" i="3"/>
  <c r="AO205" i="3"/>
  <c r="AR204" i="3"/>
  <c r="AZ204" i="3"/>
  <c r="AQ204" i="3"/>
  <c r="AW205" i="8"/>
  <c r="AX205" i="8" s="1"/>
  <c r="AY205" i="8" s="1"/>
  <c r="BA205" i="8" s="1"/>
  <c r="AU206" i="8"/>
  <c r="AV206" i="8" s="1"/>
  <c r="AZ207" i="8"/>
  <c r="AO208" i="8"/>
  <c r="AP207" i="8"/>
  <c r="AR207" i="8"/>
  <c r="AV203" i="2"/>
  <c r="AW203" i="2"/>
  <c r="AX202" i="2"/>
  <c r="AY202" i="2" s="1"/>
  <c r="BA202" i="2" s="1"/>
  <c r="AR204" i="2"/>
  <c r="AP204" i="2"/>
  <c r="AZ204" i="2"/>
  <c r="AO205" i="2"/>
  <c r="AQ205" i="2" s="1"/>
  <c r="AX226" i="9" l="1"/>
  <c r="AY226" i="9" s="1"/>
  <c r="BA226" i="9" s="1"/>
  <c r="AV227" i="9"/>
  <c r="AW227" i="9"/>
  <c r="AZ228" i="9"/>
  <c r="AQ228" i="9"/>
  <c r="AO229" i="9"/>
  <c r="AP228" i="9"/>
  <c r="AR228" i="9"/>
  <c r="AU228" i="9" s="1"/>
  <c r="AV203" i="3"/>
  <c r="AX203" i="3" s="1"/>
  <c r="AY203" i="3" s="1"/>
  <c r="BA203" i="3" s="1"/>
  <c r="AU204" i="3"/>
  <c r="AV204" i="3" s="1"/>
  <c r="AP205" i="3"/>
  <c r="AQ205" i="3"/>
  <c r="AO206" i="3"/>
  <c r="AZ205" i="3"/>
  <c r="AR205" i="3"/>
  <c r="AU205" i="3" s="1"/>
  <c r="AW206" i="8"/>
  <c r="AX206" i="8" s="1"/>
  <c r="AY206" i="8" s="1"/>
  <c r="BA206" i="8" s="1"/>
  <c r="AU207" i="8"/>
  <c r="AV207" i="8" s="1"/>
  <c r="AZ208" i="8"/>
  <c r="AO209" i="8"/>
  <c r="AP208" i="8"/>
  <c r="AR208" i="8"/>
  <c r="AX203" i="2"/>
  <c r="AY203" i="2" s="1"/>
  <c r="BA203" i="2" s="1"/>
  <c r="AR205" i="2"/>
  <c r="AU205" i="2" s="1"/>
  <c r="AP205" i="2"/>
  <c r="AO206" i="2"/>
  <c r="AQ206" i="2" s="1"/>
  <c r="AZ205" i="2"/>
  <c r="AU204" i="2"/>
  <c r="AV228" i="9" l="1"/>
  <c r="AW228" i="9"/>
  <c r="AZ229" i="9"/>
  <c r="AQ229" i="9"/>
  <c r="AO230" i="9"/>
  <c r="AP229" i="9"/>
  <c r="AR229" i="9"/>
  <c r="AU229" i="9" s="1"/>
  <c r="AX227" i="9"/>
  <c r="AY227" i="9" s="1"/>
  <c r="BA227" i="9" s="1"/>
  <c r="AW204" i="3"/>
  <c r="AX204" i="3" s="1"/>
  <c r="AY204" i="3" s="1"/>
  <c r="BA204" i="3" s="1"/>
  <c r="AV205" i="3"/>
  <c r="AW205" i="3"/>
  <c r="AZ206" i="3"/>
  <c r="AQ206" i="3"/>
  <c r="AR206" i="3"/>
  <c r="AP206" i="3"/>
  <c r="AO207" i="3"/>
  <c r="AW207" i="8"/>
  <c r="AX207" i="8" s="1"/>
  <c r="AY207" i="8" s="1"/>
  <c r="BA207" i="8" s="1"/>
  <c r="AU208" i="8"/>
  <c r="AV208" i="8" s="1"/>
  <c r="AZ209" i="8"/>
  <c r="AO210" i="8"/>
  <c r="AP209" i="8"/>
  <c r="AR209" i="8"/>
  <c r="AV204" i="2"/>
  <c r="AW204" i="2"/>
  <c r="AR206" i="2"/>
  <c r="AP206" i="2"/>
  <c r="AO207" i="2"/>
  <c r="AQ207" i="2" s="1"/>
  <c r="AZ206" i="2"/>
  <c r="AV205" i="2"/>
  <c r="AW205" i="2"/>
  <c r="AV229" i="9" l="1"/>
  <c r="AW229" i="9"/>
  <c r="AZ230" i="9"/>
  <c r="AQ230" i="9"/>
  <c r="AO231" i="9"/>
  <c r="AP230" i="9"/>
  <c r="AR230" i="9"/>
  <c r="AU230" i="9" s="1"/>
  <c r="AX228" i="9"/>
  <c r="AY228" i="9" s="1"/>
  <c r="BA228" i="9" s="1"/>
  <c r="AX205" i="3"/>
  <c r="AY205" i="3" s="1"/>
  <c r="BA205" i="3" s="1"/>
  <c r="AU206" i="3"/>
  <c r="AV206" i="3" s="1"/>
  <c r="AR207" i="3"/>
  <c r="AQ207" i="3"/>
  <c r="AP207" i="3"/>
  <c r="AO208" i="3"/>
  <c r="AZ207" i="3"/>
  <c r="AW208" i="8"/>
  <c r="AX208" i="8" s="1"/>
  <c r="AY208" i="8" s="1"/>
  <c r="BA208" i="8" s="1"/>
  <c r="AU209" i="8"/>
  <c r="AV209" i="8" s="1"/>
  <c r="AZ210" i="8"/>
  <c r="AO211" i="8"/>
  <c r="AP210" i="8"/>
  <c r="AR210" i="8"/>
  <c r="AX204" i="2"/>
  <c r="AY204" i="2" s="1"/>
  <c r="BA204" i="2" s="1"/>
  <c r="AX205" i="2"/>
  <c r="AY205" i="2" s="1"/>
  <c r="BA205" i="2" s="1"/>
  <c r="AR207" i="2"/>
  <c r="AU207" i="2" s="1"/>
  <c r="AP207" i="2"/>
  <c r="AO208" i="2"/>
  <c r="AQ208" i="2" s="1"/>
  <c r="AZ207" i="2"/>
  <c r="AU206" i="2"/>
  <c r="AV230" i="9" l="1"/>
  <c r="AW230" i="9"/>
  <c r="AZ231" i="9"/>
  <c r="AQ231" i="9"/>
  <c r="AO232" i="9"/>
  <c r="AP231" i="9"/>
  <c r="AR231" i="9"/>
  <c r="AU231" i="9" s="1"/>
  <c r="AX229" i="9"/>
  <c r="AY229" i="9" s="1"/>
  <c r="BA229" i="9" s="1"/>
  <c r="AU207" i="3"/>
  <c r="AV207" i="3" s="1"/>
  <c r="AW206" i="3"/>
  <c r="AX206" i="3" s="1"/>
  <c r="AY206" i="3" s="1"/>
  <c r="BA206" i="3" s="1"/>
  <c r="AQ208" i="3"/>
  <c r="AZ208" i="3"/>
  <c r="AO209" i="3"/>
  <c r="AP208" i="3"/>
  <c r="AR208" i="3"/>
  <c r="AW207" i="3"/>
  <c r="AW209" i="8"/>
  <c r="AX209" i="8" s="1"/>
  <c r="AY209" i="8" s="1"/>
  <c r="BA209" i="8" s="1"/>
  <c r="AU210" i="8"/>
  <c r="AV210" i="8" s="1"/>
  <c r="AZ211" i="8"/>
  <c r="AO212" i="8"/>
  <c r="AP211" i="8"/>
  <c r="AR211" i="8"/>
  <c r="AR208" i="2"/>
  <c r="AP208" i="2"/>
  <c r="AO209" i="2"/>
  <c r="AQ209" i="2" s="1"/>
  <c r="AZ208" i="2"/>
  <c r="AV206" i="2"/>
  <c r="AW206" i="2"/>
  <c r="AV207" i="2"/>
  <c r="AW207" i="2"/>
  <c r="AV231" i="9" l="1"/>
  <c r="AW231" i="9"/>
  <c r="AO233" i="9"/>
  <c r="AZ232" i="9"/>
  <c r="AQ232" i="9"/>
  <c r="AP232" i="9"/>
  <c r="AR232" i="9"/>
  <c r="AU232" i="9" s="1"/>
  <c r="AX230" i="9"/>
  <c r="AY230" i="9" s="1"/>
  <c r="BA230" i="9" s="1"/>
  <c r="AX207" i="3"/>
  <c r="AY207" i="3" s="1"/>
  <c r="BA207" i="3" s="1"/>
  <c r="AP209" i="3"/>
  <c r="AO210" i="3"/>
  <c r="AZ209" i="3"/>
  <c r="AQ209" i="3"/>
  <c r="AR209" i="3"/>
  <c r="AU208" i="3"/>
  <c r="AW210" i="8"/>
  <c r="AX210" i="8" s="1"/>
  <c r="AY210" i="8" s="1"/>
  <c r="BA210" i="8" s="1"/>
  <c r="AU211" i="8"/>
  <c r="AW211" i="8" s="1"/>
  <c r="AZ212" i="8"/>
  <c r="AO213" i="8"/>
  <c r="AP212" i="8"/>
  <c r="AR212" i="8"/>
  <c r="AX207" i="2"/>
  <c r="AY207" i="2" s="1"/>
  <c r="BA207" i="2" s="1"/>
  <c r="AR209" i="2"/>
  <c r="AP209" i="2"/>
  <c r="AO210" i="2"/>
  <c r="AQ210" i="2" s="1"/>
  <c r="AZ209" i="2"/>
  <c r="AX206" i="2"/>
  <c r="AY206" i="2" s="1"/>
  <c r="BA206" i="2" s="1"/>
  <c r="AU208" i="2"/>
  <c r="AV232" i="9" l="1"/>
  <c r="AW232" i="9"/>
  <c r="AZ233" i="9"/>
  <c r="AQ233" i="9"/>
  <c r="AO234" i="9"/>
  <c r="AP233" i="9"/>
  <c r="AR233" i="9"/>
  <c r="AU233" i="9" s="1"/>
  <c r="AX231" i="9"/>
  <c r="AY231" i="9" s="1"/>
  <c r="BA231" i="9" s="1"/>
  <c r="AU209" i="3"/>
  <c r="AW209" i="3" s="1"/>
  <c r="AV208" i="3"/>
  <c r="AW208" i="3"/>
  <c r="AR210" i="3"/>
  <c r="AQ210" i="3"/>
  <c r="AZ210" i="3"/>
  <c r="AO211" i="3"/>
  <c r="AP210" i="3"/>
  <c r="AV211" i="8"/>
  <c r="AX211" i="8" s="1"/>
  <c r="AY211" i="8" s="1"/>
  <c r="BA211" i="8" s="1"/>
  <c r="AU212" i="8"/>
  <c r="AV212" i="8" s="1"/>
  <c r="AZ213" i="8"/>
  <c r="AO214" i="8"/>
  <c r="AP213" i="8"/>
  <c r="AR213" i="8"/>
  <c r="AV208" i="2"/>
  <c r="AW208" i="2"/>
  <c r="AR210" i="2"/>
  <c r="AP210" i="2"/>
  <c r="AO211" i="2"/>
  <c r="AQ211" i="2" s="1"/>
  <c r="AZ210" i="2"/>
  <c r="AU209" i="2"/>
  <c r="AV233" i="9" l="1"/>
  <c r="AX233" i="9" s="1"/>
  <c r="AY233" i="9" s="1"/>
  <c r="BA233" i="9" s="1"/>
  <c r="AW233" i="9"/>
  <c r="AO235" i="9"/>
  <c r="AZ234" i="9"/>
  <c r="AQ234" i="9"/>
  <c r="AP234" i="9"/>
  <c r="AR234" i="9"/>
  <c r="AU234" i="9" s="1"/>
  <c r="AX232" i="9"/>
  <c r="AY232" i="9" s="1"/>
  <c r="BA232" i="9" s="1"/>
  <c r="AX208" i="2"/>
  <c r="AY208" i="2" s="1"/>
  <c r="BA208" i="2" s="1"/>
  <c r="AX208" i="3"/>
  <c r="AY208" i="3" s="1"/>
  <c r="BA208" i="3" s="1"/>
  <c r="AV209" i="3"/>
  <c r="AX209" i="3" s="1"/>
  <c r="AY209" i="3" s="1"/>
  <c r="BA209" i="3" s="1"/>
  <c r="AZ211" i="3"/>
  <c r="AR211" i="3"/>
  <c r="AQ211" i="3"/>
  <c r="AP211" i="3"/>
  <c r="AO212" i="3"/>
  <c r="AU210" i="3"/>
  <c r="AW212" i="8"/>
  <c r="AX212" i="8" s="1"/>
  <c r="AY212" i="8" s="1"/>
  <c r="BA212" i="8" s="1"/>
  <c r="AU213" i="8"/>
  <c r="AV213" i="8" s="1"/>
  <c r="AZ214" i="8"/>
  <c r="AO215" i="8"/>
  <c r="AP214" i="8"/>
  <c r="AR214" i="8"/>
  <c r="AV209" i="2"/>
  <c r="AW209" i="2"/>
  <c r="AR211" i="2"/>
  <c r="AP211" i="2"/>
  <c r="AO212" i="2"/>
  <c r="AQ212" i="2" s="1"/>
  <c r="AZ211" i="2"/>
  <c r="AU210" i="2"/>
  <c r="AV234" i="9" l="1"/>
  <c r="AW234" i="9"/>
  <c r="AZ235" i="9"/>
  <c r="AQ235" i="9"/>
  <c r="AO236" i="9"/>
  <c r="AP235" i="9"/>
  <c r="AR235" i="9"/>
  <c r="AU235" i="9" s="1"/>
  <c r="AX209" i="2"/>
  <c r="AY209" i="2" s="1"/>
  <c r="BA209" i="2" s="1"/>
  <c r="AU211" i="3"/>
  <c r="AW211" i="3" s="1"/>
  <c r="AW210" i="3"/>
  <c r="AV210" i="3"/>
  <c r="AZ212" i="3"/>
  <c r="AO213" i="3"/>
  <c r="AP212" i="3"/>
  <c r="AR212" i="3"/>
  <c r="AQ212" i="3"/>
  <c r="AW213" i="8"/>
  <c r="AX213" i="8" s="1"/>
  <c r="AY213" i="8" s="1"/>
  <c r="BA213" i="8" s="1"/>
  <c r="AU214" i="8"/>
  <c r="AV214" i="8" s="1"/>
  <c r="AZ215" i="8"/>
  <c r="AO216" i="8"/>
  <c r="AP215" i="8"/>
  <c r="AR215" i="8"/>
  <c r="AV210" i="2"/>
  <c r="AW210" i="2"/>
  <c r="AR212" i="2"/>
  <c r="AP212" i="2"/>
  <c r="AO213" i="2"/>
  <c r="AQ213" i="2" s="1"/>
  <c r="AZ212" i="2"/>
  <c r="AU211" i="2"/>
  <c r="AX234" i="9" l="1"/>
  <c r="AY234" i="9" s="1"/>
  <c r="BA234" i="9" s="1"/>
  <c r="AV235" i="9"/>
  <c r="AX235" i="9" s="1"/>
  <c r="AY235" i="9" s="1"/>
  <c r="BA235" i="9" s="1"/>
  <c r="AW235" i="9"/>
  <c r="AO237" i="9"/>
  <c r="AZ236" i="9"/>
  <c r="AQ236" i="9"/>
  <c r="AP236" i="9"/>
  <c r="AR236" i="9"/>
  <c r="AU236" i="9" s="1"/>
  <c r="AX210" i="2"/>
  <c r="AY210" i="2" s="1"/>
  <c r="BA210" i="2" s="1"/>
  <c r="AX210" i="3"/>
  <c r="AY210" i="3" s="1"/>
  <c r="BA210" i="3" s="1"/>
  <c r="AU212" i="3"/>
  <c r="AV212" i="3" s="1"/>
  <c r="AV211" i="3"/>
  <c r="AX211" i="3" s="1"/>
  <c r="AY211" i="3" s="1"/>
  <c r="BA211" i="3" s="1"/>
  <c r="AP213" i="3"/>
  <c r="AO214" i="3"/>
  <c r="AZ213" i="3"/>
  <c r="AQ213" i="3"/>
  <c r="AR213" i="3"/>
  <c r="AW214" i="8"/>
  <c r="AX214" i="8" s="1"/>
  <c r="AY214" i="8" s="1"/>
  <c r="BA214" i="8" s="1"/>
  <c r="AU215" i="8"/>
  <c r="AV215" i="8" s="1"/>
  <c r="AZ216" i="8"/>
  <c r="AO217" i="8"/>
  <c r="AP216" i="8"/>
  <c r="AR216" i="8"/>
  <c r="AV211" i="2"/>
  <c r="AW211" i="2"/>
  <c r="AR213" i="2"/>
  <c r="AP213" i="2"/>
  <c r="AO214" i="2"/>
  <c r="AQ214" i="2" s="1"/>
  <c r="AZ213" i="2"/>
  <c r="AU212" i="2"/>
  <c r="AV236" i="9" l="1"/>
  <c r="AW236" i="9"/>
  <c r="AZ237" i="9"/>
  <c r="AQ237" i="9"/>
  <c r="AO238" i="9"/>
  <c r="AP237" i="9"/>
  <c r="AR237" i="9"/>
  <c r="AU237" i="9" s="1"/>
  <c r="AW212" i="3"/>
  <c r="AX212" i="3" s="1"/>
  <c r="AY212" i="3" s="1"/>
  <c r="BA212" i="3" s="1"/>
  <c r="AR214" i="3"/>
  <c r="AZ214" i="3"/>
  <c r="AO215" i="3"/>
  <c r="AQ214" i="3"/>
  <c r="AP214" i="3"/>
  <c r="AU213" i="3"/>
  <c r="AX211" i="2"/>
  <c r="AY211" i="2" s="1"/>
  <c r="BA211" i="2" s="1"/>
  <c r="AW215" i="8"/>
  <c r="AX215" i="8" s="1"/>
  <c r="AY215" i="8" s="1"/>
  <c r="BA215" i="8" s="1"/>
  <c r="AU216" i="8"/>
  <c r="AV216" i="8" s="1"/>
  <c r="AZ217" i="8"/>
  <c r="AO218" i="8"/>
  <c r="AP217" i="8"/>
  <c r="AR217" i="8"/>
  <c r="AV212" i="2"/>
  <c r="AW212" i="2"/>
  <c r="AR214" i="2"/>
  <c r="AP214" i="2"/>
  <c r="AO215" i="2"/>
  <c r="AQ215" i="2" s="1"/>
  <c r="AZ214" i="2"/>
  <c r="AU213" i="2"/>
  <c r="AX236" i="9" l="1"/>
  <c r="AY236" i="9" s="1"/>
  <c r="BA236" i="9" s="1"/>
  <c r="AV237" i="9"/>
  <c r="AW237" i="9"/>
  <c r="AO239" i="9"/>
  <c r="AZ238" i="9"/>
  <c r="AQ238" i="9"/>
  <c r="AP238" i="9"/>
  <c r="AR238" i="9"/>
  <c r="AU238" i="9" s="1"/>
  <c r="AZ215" i="3"/>
  <c r="AQ215" i="3"/>
  <c r="AR215" i="3"/>
  <c r="AP215" i="3"/>
  <c r="AO216" i="3"/>
  <c r="AV213" i="3"/>
  <c r="AW213" i="3"/>
  <c r="AU214" i="3"/>
  <c r="AW216" i="8"/>
  <c r="AX216" i="8" s="1"/>
  <c r="AY216" i="8" s="1"/>
  <c r="BA216" i="8" s="1"/>
  <c r="AU217" i="8"/>
  <c r="AV217" i="8" s="1"/>
  <c r="AZ218" i="8"/>
  <c r="AO219" i="8"/>
  <c r="AP218" i="8"/>
  <c r="AR218" i="8"/>
  <c r="AX212" i="2"/>
  <c r="AY212" i="2" s="1"/>
  <c r="BA212" i="2" s="1"/>
  <c r="AV213" i="2"/>
  <c r="AW213" i="2"/>
  <c r="AR215" i="2"/>
  <c r="AP215" i="2"/>
  <c r="AZ215" i="2"/>
  <c r="AO216" i="2"/>
  <c r="AQ216" i="2" s="1"/>
  <c r="AU214" i="2"/>
  <c r="AX237" i="9" l="1"/>
  <c r="AY237" i="9" s="1"/>
  <c r="BA237" i="9" s="1"/>
  <c r="AV238" i="9"/>
  <c r="AW238" i="9"/>
  <c r="AZ239" i="9"/>
  <c r="AQ239" i="9"/>
  <c r="AO240" i="9"/>
  <c r="AP239" i="9"/>
  <c r="AR239" i="9"/>
  <c r="AU239" i="9" s="1"/>
  <c r="AU215" i="3"/>
  <c r="AV215" i="3" s="1"/>
  <c r="AX213" i="3"/>
  <c r="AY213" i="3" s="1"/>
  <c r="BA213" i="3" s="1"/>
  <c r="AV214" i="3"/>
  <c r="AW214" i="3"/>
  <c r="AQ216" i="3"/>
  <c r="AZ216" i="3"/>
  <c r="AO217" i="3"/>
  <c r="AP216" i="3"/>
  <c r="AR216" i="3"/>
  <c r="AU216" i="3" s="1"/>
  <c r="AW217" i="8"/>
  <c r="AX217" i="8" s="1"/>
  <c r="AY217" i="8" s="1"/>
  <c r="BA217" i="8" s="1"/>
  <c r="AU218" i="8"/>
  <c r="AV218" i="8" s="1"/>
  <c r="AZ219" i="8"/>
  <c r="AO220" i="8"/>
  <c r="AP219" i="8"/>
  <c r="AR219" i="8"/>
  <c r="AX213" i="2"/>
  <c r="AY213" i="2" s="1"/>
  <c r="BA213" i="2" s="1"/>
  <c r="AV214" i="2"/>
  <c r="AW214" i="2"/>
  <c r="AU215" i="2"/>
  <c r="AR216" i="2"/>
  <c r="AP216" i="2"/>
  <c r="AO217" i="2"/>
  <c r="AQ217" i="2" s="1"/>
  <c r="AZ216" i="2"/>
  <c r="AX238" i="9" l="1"/>
  <c r="AY238" i="9" s="1"/>
  <c r="BA238" i="9" s="1"/>
  <c r="AW215" i="3"/>
  <c r="AV239" i="9"/>
  <c r="AW239" i="9"/>
  <c r="AO241" i="9"/>
  <c r="AZ240" i="9"/>
  <c r="AQ240" i="9"/>
  <c r="AP240" i="9"/>
  <c r="AR240" i="9"/>
  <c r="AU240" i="9" s="1"/>
  <c r="AX215" i="3"/>
  <c r="AY215" i="3" s="1"/>
  <c r="BA215" i="3" s="1"/>
  <c r="AQ217" i="3"/>
  <c r="AP217" i="3"/>
  <c r="AO218" i="3"/>
  <c r="AZ217" i="3"/>
  <c r="AR217" i="3"/>
  <c r="AX214" i="3"/>
  <c r="AY214" i="3" s="1"/>
  <c r="BA214" i="3" s="1"/>
  <c r="AV216" i="3"/>
  <c r="AW216" i="3"/>
  <c r="AW218" i="8"/>
  <c r="AX218" i="8" s="1"/>
  <c r="AY218" i="8" s="1"/>
  <c r="BA218" i="8" s="1"/>
  <c r="AU219" i="8"/>
  <c r="AV219" i="8" s="1"/>
  <c r="AZ220" i="8"/>
  <c r="AO221" i="8"/>
  <c r="AP220" i="8"/>
  <c r="AR220" i="8"/>
  <c r="AX214" i="2"/>
  <c r="AY214" i="2" s="1"/>
  <c r="BA214" i="2" s="1"/>
  <c r="AU216" i="2"/>
  <c r="AV215" i="2"/>
  <c r="AW215" i="2"/>
  <c r="AR217" i="2"/>
  <c r="AP217" i="2"/>
  <c r="AZ217" i="2"/>
  <c r="AO218" i="2"/>
  <c r="AQ218" i="2" s="1"/>
  <c r="AX239" i="9" l="1"/>
  <c r="AY239" i="9" s="1"/>
  <c r="BA239" i="9" s="1"/>
  <c r="AV240" i="9"/>
  <c r="AW240" i="9"/>
  <c r="AZ241" i="9"/>
  <c r="AQ241" i="9"/>
  <c r="AO242" i="9"/>
  <c r="AP241" i="9"/>
  <c r="AR241" i="9"/>
  <c r="AU241" i="9" s="1"/>
  <c r="AU217" i="3"/>
  <c r="AV217" i="3" s="1"/>
  <c r="AX216" i="3"/>
  <c r="AY216" i="3" s="1"/>
  <c r="BA216" i="3" s="1"/>
  <c r="AX215" i="2"/>
  <c r="AY215" i="2" s="1"/>
  <c r="BA215" i="2" s="1"/>
  <c r="AZ218" i="3"/>
  <c r="AO219" i="3"/>
  <c r="AR218" i="3"/>
  <c r="AQ218" i="3"/>
  <c r="AP218" i="3"/>
  <c r="AW219" i="8"/>
  <c r="AX219" i="8" s="1"/>
  <c r="AY219" i="8" s="1"/>
  <c r="BA219" i="8" s="1"/>
  <c r="AU220" i="8"/>
  <c r="AV220" i="8" s="1"/>
  <c r="AZ221" i="8"/>
  <c r="AO222" i="8"/>
  <c r="AP221" i="8"/>
  <c r="AR221" i="8"/>
  <c r="AR218" i="2"/>
  <c r="AP218" i="2"/>
  <c r="AO219" i="2"/>
  <c r="AQ219" i="2" s="1"/>
  <c r="AZ218" i="2"/>
  <c r="AU217" i="2"/>
  <c r="AV216" i="2"/>
  <c r="AW216" i="2"/>
  <c r="AW217" i="3" l="1"/>
  <c r="AX240" i="9"/>
  <c r="AY240" i="9" s="1"/>
  <c r="BA240" i="9" s="1"/>
  <c r="AV241" i="9"/>
  <c r="AW241" i="9"/>
  <c r="AO243" i="9"/>
  <c r="AZ242" i="9"/>
  <c r="AQ242" i="9"/>
  <c r="AP242" i="9"/>
  <c r="AR242" i="9"/>
  <c r="AU242" i="9" s="1"/>
  <c r="AX217" i="3"/>
  <c r="AY217" i="3" s="1"/>
  <c r="BA217" i="3" s="1"/>
  <c r="AU218" i="3"/>
  <c r="AW218" i="3" s="1"/>
  <c r="AX216" i="2"/>
  <c r="AY216" i="2" s="1"/>
  <c r="BA216" i="2" s="1"/>
  <c r="AZ219" i="3"/>
  <c r="AO220" i="3"/>
  <c r="AR219" i="3"/>
  <c r="AQ219" i="3"/>
  <c r="AP219" i="3"/>
  <c r="AW220" i="8"/>
  <c r="AX220" i="8" s="1"/>
  <c r="AY220" i="8" s="1"/>
  <c r="BA220" i="8" s="1"/>
  <c r="AU221" i="8"/>
  <c r="AV221" i="8" s="1"/>
  <c r="AZ222" i="8"/>
  <c r="AO223" i="8"/>
  <c r="AP222" i="8"/>
  <c r="AR222" i="8"/>
  <c r="AR219" i="2"/>
  <c r="AU219" i="2" s="1"/>
  <c r="AP219" i="2"/>
  <c r="AZ219" i="2"/>
  <c r="AO220" i="2"/>
  <c r="AQ220" i="2" s="1"/>
  <c r="AV217" i="2"/>
  <c r="AW217" i="2"/>
  <c r="AU218" i="2"/>
  <c r="AX241" i="9" l="1"/>
  <c r="AY241" i="9" s="1"/>
  <c r="BA241" i="9" s="1"/>
  <c r="AV242" i="9"/>
  <c r="AW242" i="9"/>
  <c r="AZ243" i="9"/>
  <c r="AQ243" i="9"/>
  <c r="AO244" i="9"/>
  <c r="AP243" i="9"/>
  <c r="AR243" i="9"/>
  <c r="AU243" i="9" s="1"/>
  <c r="AV218" i="3"/>
  <c r="AX218" i="3" s="1"/>
  <c r="AY218" i="3" s="1"/>
  <c r="BA218" i="3" s="1"/>
  <c r="AU219" i="3"/>
  <c r="AV219" i="3" s="1"/>
  <c r="AX217" i="2"/>
  <c r="AY217" i="2" s="1"/>
  <c r="BA217" i="2" s="1"/>
  <c r="AZ220" i="3"/>
  <c r="AO221" i="3"/>
  <c r="AP220" i="3"/>
  <c r="AR220" i="3"/>
  <c r="AQ220" i="3"/>
  <c r="AW221" i="8"/>
  <c r="AX221" i="8" s="1"/>
  <c r="AY221" i="8" s="1"/>
  <c r="BA221" i="8" s="1"/>
  <c r="AU222" i="8"/>
  <c r="AW222" i="8" s="1"/>
  <c r="AZ223" i="8"/>
  <c r="AO224" i="8"/>
  <c r="AP223" i="8"/>
  <c r="AR223" i="8"/>
  <c r="AU223" i="8" s="1"/>
  <c r="AV218" i="2"/>
  <c r="AW218" i="2"/>
  <c r="AR220" i="2"/>
  <c r="AP220" i="2"/>
  <c r="AO221" i="2"/>
  <c r="AQ221" i="2" s="1"/>
  <c r="AZ220" i="2"/>
  <c r="AV219" i="2"/>
  <c r="AW219" i="2"/>
  <c r="AX242" i="9" l="1"/>
  <c r="AY242" i="9" s="1"/>
  <c r="BA242" i="9" s="1"/>
  <c r="AV243" i="9"/>
  <c r="AW243" i="9"/>
  <c r="AO245" i="9"/>
  <c r="AZ244" i="9"/>
  <c r="AQ244" i="9"/>
  <c r="AP244" i="9"/>
  <c r="AR244" i="9"/>
  <c r="AU244" i="9" s="1"/>
  <c r="AW219" i="3"/>
  <c r="AX219" i="3" s="1"/>
  <c r="AY219" i="3" s="1"/>
  <c r="BA219" i="3" s="1"/>
  <c r="AO222" i="3"/>
  <c r="AZ221" i="3"/>
  <c r="AP221" i="3"/>
  <c r="AR221" i="3"/>
  <c r="AQ221" i="3"/>
  <c r="AU220" i="3"/>
  <c r="AV222" i="8"/>
  <c r="AX222" i="8" s="1"/>
  <c r="AY222" i="8" s="1"/>
  <c r="BA222" i="8" s="1"/>
  <c r="AZ224" i="8"/>
  <c r="AO225" i="8"/>
  <c r="AP224" i="8"/>
  <c r="AR224" i="8"/>
  <c r="AV223" i="8"/>
  <c r="AW223" i="8"/>
  <c r="AX218" i="2"/>
  <c r="AY218" i="2" s="1"/>
  <c r="BA218" i="2" s="1"/>
  <c r="AX219" i="2"/>
  <c r="AY219" i="2" s="1"/>
  <c r="BA219" i="2" s="1"/>
  <c r="AZ221" i="2"/>
  <c r="AO222" i="2"/>
  <c r="AQ222" i="2" s="1"/>
  <c r="AR221" i="2"/>
  <c r="AU221" i="2" s="1"/>
  <c r="AP221" i="2"/>
  <c r="AU220" i="2"/>
  <c r="AX243" i="9" l="1"/>
  <c r="AY243" i="9" s="1"/>
  <c r="BA243" i="9" s="1"/>
  <c r="AV244" i="9"/>
  <c r="AX244" i="9" s="1"/>
  <c r="AY244" i="9" s="1"/>
  <c r="BA244" i="9" s="1"/>
  <c r="AW244" i="9"/>
  <c r="AZ245" i="9"/>
  <c r="AQ245" i="9"/>
  <c r="AO246" i="9"/>
  <c r="AP245" i="9"/>
  <c r="AR245" i="9"/>
  <c r="AU245" i="9" s="1"/>
  <c r="AX223" i="8"/>
  <c r="AY223" i="8" s="1"/>
  <c r="BA223" i="8" s="1"/>
  <c r="AW220" i="3"/>
  <c r="AV220" i="3"/>
  <c r="AU221" i="3"/>
  <c r="AR222" i="3"/>
  <c r="AQ222" i="3"/>
  <c r="AZ222" i="3"/>
  <c r="AO223" i="3"/>
  <c r="AP222" i="3"/>
  <c r="AU224" i="8"/>
  <c r="AV224" i="8" s="1"/>
  <c r="AZ225" i="8"/>
  <c r="AO226" i="8"/>
  <c r="AP225" i="8"/>
  <c r="AR225" i="8"/>
  <c r="AV221" i="2"/>
  <c r="AW221" i="2"/>
  <c r="AV220" i="2"/>
  <c r="AW220" i="2"/>
  <c r="AZ222" i="2"/>
  <c r="AO223" i="2"/>
  <c r="AQ223" i="2" s="1"/>
  <c r="AP222" i="2"/>
  <c r="AR222" i="2"/>
  <c r="AU222" i="2" s="1"/>
  <c r="AV245" i="9" l="1"/>
  <c r="AW245" i="9"/>
  <c r="AO247" i="9"/>
  <c r="AZ246" i="9"/>
  <c r="AQ246" i="9"/>
  <c r="AP246" i="9"/>
  <c r="AR246" i="9"/>
  <c r="AX220" i="3"/>
  <c r="AY220" i="3" s="1"/>
  <c r="BA220" i="3" s="1"/>
  <c r="AU222" i="3"/>
  <c r="AW222" i="3" s="1"/>
  <c r="AZ223" i="3"/>
  <c r="AQ223" i="3"/>
  <c r="AR223" i="3"/>
  <c r="AP223" i="3"/>
  <c r="AO224" i="3"/>
  <c r="AV221" i="3"/>
  <c r="AW221" i="3"/>
  <c r="AX221" i="2"/>
  <c r="AY221" i="2" s="1"/>
  <c r="BA221" i="2" s="1"/>
  <c r="AW224" i="8"/>
  <c r="AX224" i="8" s="1"/>
  <c r="AY224" i="8" s="1"/>
  <c r="BA224" i="8" s="1"/>
  <c r="AU225" i="8"/>
  <c r="AV225" i="8" s="1"/>
  <c r="AZ226" i="8"/>
  <c r="AO227" i="8"/>
  <c r="AP226" i="8"/>
  <c r="AR226" i="8"/>
  <c r="AX220" i="2"/>
  <c r="AY220" i="2" s="1"/>
  <c r="BA220" i="2" s="1"/>
  <c r="AV222" i="2"/>
  <c r="AW222" i="2"/>
  <c r="AZ223" i="2"/>
  <c r="AO224" i="2"/>
  <c r="AQ224" i="2" s="1"/>
  <c r="AR223" i="2"/>
  <c r="AU223" i="2" s="1"/>
  <c r="AP223" i="2"/>
  <c r="AX245" i="9" l="1"/>
  <c r="AY245" i="9" s="1"/>
  <c r="BA245" i="9" s="1"/>
  <c r="AU246" i="9"/>
  <c r="AV246" i="9" s="1"/>
  <c r="AZ247" i="9"/>
  <c r="AQ247" i="9"/>
  <c r="AO248" i="9"/>
  <c r="AP247" i="9"/>
  <c r="AR247" i="9"/>
  <c r="AX222" i="2"/>
  <c r="AY222" i="2" s="1"/>
  <c r="BA222" i="2" s="1"/>
  <c r="AX221" i="3"/>
  <c r="AY221" i="3" s="1"/>
  <c r="BA221" i="3" s="1"/>
  <c r="AV222" i="3"/>
  <c r="AX222" i="3" s="1"/>
  <c r="AY222" i="3" s="1"/>
  <c r="BA222" i="3" s="1"/>
  <c r="AU223" i="3"/>
  <c r="AQ224" i="3"/>
  <c r="AZ224" i="3"/>
  <c r="AO225" i="3"/>
  <c r="AP224" i="3"/>
  <c r="AR224" i="3"/>
  <c r="AW225" i="8"/>
  <c r="AX225" i="8" s="1"/>
  <c r="AY225" i="8" s="1"/>
  <c r="BA225" i="8" s="1"/>
  <c r="AU226" i="8"/>
  <c r="AV226" i="8" s="1"/>
  <c r="AZ227" i="8"/>
  <c r="AO228" i="8"/>
  <c r="AP227" i="8"/>
  <c r="AR227" i="8"/>
  <c r="AV223" i="2"/>
  <c r="AW223" i="2"/>
  <c r="AR224" i="2"/>
  <c r="AU224" i="2" s="1"/>
  <c r="AZ224" i="2"/>
  <c r="AO225" i="2"/>
  <c r="AQ225" i="2" s="1"/>
  <c r="AP224" i="2"/>
  <c r="AU247" i="9" l="1"/>
  <c r="AV247" i="9" s="1"/>
  <c r="AW246" i="9"/>
  <c r="AX246" i="9" s="1"/>
  <c r="AY246" i="9" s="1"/>
  <c r="BA246" i="9" s="1"/>
  <c r="AO249" i="9"/>
  <c r="AZ248" i="9"/>
  <c r="AQ248" i="9"/>
  <c r="AP248" i="9"/>
  <c r="AR248" i="9"/>
  <c r="AU224" i="3"/>
  <c r="AV224" i="3" s="1"/>
  <c r="AQ225" i="3"/>
  <c r="AZ225" i="3"/>
  <c r="AR225" i="3"/>
  <c r="AP225" i="3"/>
  <c r="AO226" i="3"/>
  <c r="AV223" i="3"/>
  <c r="AW223" i="3"/>
  <c r="AW226" i="8"/>
  <c r="AX226" i="8" s="1"/>
  <c r="AY226" i="8" s="1"/>
  <c r="BA226" i="8" s="1"/>
  <c r="AU227" i="8"/>
  <c r="AV227" i="8" s="1"/>
  <c r="AZ228" i="8"/>
  <c r="AO229" i="8"/>
  <c r="AP228" i="8"/>
  <c r="AR228" i="8"/>
  <c r="AR225" i="2"/>
  <c r="AU225" i="2" s="1"/>
  <c r="AZ225" i="2"/>
  <c r="AO226" i="2"/>
  <c r="AQ226" i="2" s="1"/>
  <c r="AP225" i="2"/>
  <c r="AV224" i="2"/>
  <c r="AW224" i="2"/>
  <c r="AX223" i="2"/>
  <c r="AY223" i="2" s="1"/>
  <c r="BA223" i="2" s="1"/>
  <c r="AW247" i="9" l="1"/>
  <c r="AX247" i="9" s="1"/>
  <c r="AY247" i="9" s="1"/>
  <c r="BA247" i="9" s="1"/>
  <c r="AW224" i="3"/>
  <c r="AU248" i="9"/>
  <c r="AV248" i="9" s="1"/>
  <c r="AZ249" i="9"/>
  <c r="AQ249" i="9"/>
  <c r="AP249" i="9"/>
  <c r="AR249" i="9"/>
  <c r="AX224" i="3"/>
  <c r="AY224" i="3" s="1"/>
  <c r="BA224" i="3" s="1"/>
  <c r="AX223" i="3"/>
  <c r="AY223" i="3" s="1"/>
  <c r="BA223" i="3" s="1"/>
  <c r="AP226" i="3"/>
  <c r="AR226" i="3"/>
  <c r="AQ226" i="3"/>
  <c r="AZ226" i="3"/>
  <c r="AO227" i="3"/>
  <c r="AU225" i="3"/>
  <c r="AW227" i="8"/>
  <c r="AX227" i="8" s="1"/>
  <c r="AY227" i="8" s="1"/>
  <c r="BA227" i="8" s="1"/>
  <c r="AU228" i="8"/>
  <c r="AV228" i="8" s="1"/>
  <c r="AZ229" i="8"/>
  <c r="AO230" i="8"/>
  <c r="AP229" i="8"/>
  <c r="AR229" i="8"/>
  <c r="AR226" i="2"/>
  <c r="AU226" i="2" s="1"/>
  <c r="AZ226" i="2"/>
  <c r="AP226" i="2"/>
  <c r="AO227" i="2"/>
  <c r="AQ227" i="2" s="1"/>
  <c r="AX224" i="2"/>
  <c r="AY224" i="2" s="1"/>
  <c r="BA224" i="2" s="1"/>
  <c r="AV225" i="2"/>
  <c r="AW225" i="2"/>
  <c r="AW248" i="9" l="1"/>
  <c r="AX248" i="9" s="1"/>
  <c r="AY248" i="9" s="1"/>
  <c r="BA248" i="9" s="1"/>
  <c r="AU249" i="9"/>
  <c r="AV249" i="9" s="1"/>
  <c r="AV225" i="3"/>
  <c r="AW225" i="3"/>
  <c r="AU226" i="3"/>
  <c r="AQ227" i="3"/>
  <c r="AP227" i="3"/>
  <c r="AO228" i="3"/>
  <c r="AZ227" i="3"/>
  <c r="AR227" i="3"/>
  <c r="AW228" i="8"/>
  <c r="AX228" i="8" s="1"/>
  <c r="AY228" i="8" s="1"/>
  <c r="BA228" i="8" s="1"/>
  <c r="AU229" i="8"/>
  <c r="AV229" i="8" s="1"/>
  <c r="AZ230" i="8"/>
  <c r="AO231" i="8"/>
  <c r="AP230" i="8"/>
  <c r="AR230" i="8"/>
  <c r="AX225" i="2"/>
  <c r="AY225" i="2" s="1"/>
  <c r="BA225" i="2" s="1"/>
  <c r="AR227" i="2"/>
  <c r="AU227" i="2" s="1"/>
  <c r="AZ227" i="2"/>
  <c r="AP227" i="2"/>
  <c r="AO228" i="2"/>
  <c r="AQ228" i="2" s="1"/>
  <c r="AV226" i="2"/>
  <c r="AW226" i="2"/>
  <c r="AW249" i="9" l="1"/>
  <c r="AX249" i="9" s="1"/>
  <c r="AY249" i="9" s="1"/>
  <c r="BA249" i="9" s="1"/>
  <c r="AR228" i="3"/>
  <c r="AQ228" i="3"/>
  <c r="AP228" i="3"/>
  <c r="AZ228" i="3"/>
  <c r="AO229" i="3"/>
  <c r="AV226" i="3"/>
  <c r="AW226" i="3"/>
  <c r="AU227" i="3"/>
  <c r="AX225" i="3"/>
  <c r="AY225" i="3" s="1"/>
  <c r="BA225" i="3" s="1"/>
  <c r="AW229" i="8"/>
  <c r="AX229" i="8" s="1"/>
  <c r="AY229" i="8" s="1"/>
  <c r="BA229" i="8" s="1"/>
  <c r="AU230" i="8"/>
  <c r="AV230" i="8" s="1"/>
  <c r="AZ231" i="8"/>
  <c r="AO232" i="8"/>
  <c r="AP231" i="8"/>
  <c r="AR231" i="8"/>
  <c r="AR228" i="2"/>
  <c r="AU228" i="2" s="1"/>
  <c r="AZ228" i="2"/>
  <c r="AP228" i="2"/>
  <c r="AO229" i="2"/>
  <c r="AQ229" i="2" s="1"/>
  <c r="AX226" i="2"/>
  <c r="AY226" i="2" s="1"/>
  <c r="BA226" i="2" s="1"/>
  <c r="AV227" i="2"/>
  <c r="AW227" i="2"/>
  <c r="AU228" i="3" l="1"/>
  <c r="AV228" i="3" s="1"/>
  <c r="AX226" i="3"/>
  <c r="AY226" i="3" s="1"/>
  <c r="BA226" i="3" s="1"/>
  <c r="AV227" i="3"/>
  <c r="AW227" i="3"/>
  <c r="AQ229" i="3"/>
  <c r="AP229" i="3"/>
  <c r="AO230" i="3"/>
  <c r="AZ229" i="3"/>
  <c r="AR229" i="3"/>
  <c r="AU229" i="3" s="1"/>
  <c r="AW230" i="8"/>
  <c r="AX230" i="8" s="1"/>
  <c r="AY230" i="8" s="1"/>
  <c r="BA230" i="8" s="1"/>
  <c r="AU231" i="8"/>
  <c r="AV231" i="8" s="1"/>
  <c r="AZ232" i="8"/>
  <c r="AO233" i="8"/>
  <c r="AP232" i="8"/>
  <c r="AR232" i="8"/>
  <c r="AX227" i="2"/>
  <c r="AY227" i="2" s="1"/>
  <c r="BA227" i="2" s="1"/>
  <c r="AR229" i="2"/>
  <c r="AU229" i="2" s="1"/>
  <c r="AZ229" i="2"/>
  <c r="AP229" i="2"/>
  <c r="AO230" i="2"/>
  <c r="AQ230" i="2" s="1"/>
  <c r="AV228" i="2"/>
  <c r="AW228" i="2"/>
  <c r="AW228" i="3" l="1"/>
  <c r="AX228" i="3" s="1"/>
  <c r="AY228" i="3" s="1"/>
  <c r="BA228" i="3" s="1"/>
  <c r="AV229" i="3"/>
  <c r="AW229" i="3"/>
  <c r="AP230" i="3"/>
  <c r="AR230" i="3"/>
  <c r="AQ230" i="3"/>
  <c r="AZ230" i="3"/>
  <c r="AO231" i="3"/>
  <c r="AX227" i="3"/>
  <c r="AY227" i="3" s="1"/>
  <c r="BA227" i="3" s="1"/>
  <c r="AW231" i="8"/>
  <c r="AX231" i="8" s="1"/>
  <c r="AY231" i="8" s="1"/>
  <c r="BA231" i="8" s="1"/>
  <c r="AU232" i="8"/>
  <c r="AV232" i="8" s="1"/>
  <c r="AZ233" i="8"/>
  <c r="AO234" i="8"/>
  <c r="AP233" i="8"/>
  <c r="AR233" i="8"/>
  <c r="AR230" i="2"/>
  <c r="AU230" i="2" s="1"/>
  <c r="AZ230" i="2"/>
  <c r="AP230" i="2"/>
  <c r="AO231" i="2"/>
  <c r="AQ231" i="2" s="1"/>
  <c r="AX228" i="2"/>
  <c r="AY228" i="2" s="1"/>
  <c r="BA228" i="2" s="1"/>
  <c r="AV229" i="2"/>
  <c r="AW229" i="2"/>
  <c r="AX229" i="3" l="1"/>
  <c r="AY229" i="3" s="1"/>
  <c r="BA229" i="3" s="1"/>
  <c r="AR231" i="3"/>
  <c r="AQ231" i="3"/>
  <c r="AZ231" i="3"/>
  <c r="AO232" i="3"/>
  <c r="AP231" i="3"/>
  <c r="AU230" i="3"/>
  <c r="AU233" i="8"/>
  <c r="AV233" i="8" s="1"/>
  <c r="AW232" i="8"/>
  <c r="AX232" i="8" s="1"/>
  <c r="AY232" i="8" s="1"/>
  <c r="BA232" i="8" s="1"/>
  <c r="AZ234" i="8"/>
  <c r="AO235" i="8"/>
  <c r="AP234" i="8"/>
  <c r="AR234" i="8"/>
  <c r="AX229" i="2"/>
  <c r="AY229" i="2" s="1"/>
  <c r="BA229" i="2" s="1"/>
  <c r="AR231" i="2"/>
  <c r="AU231" i="2" s="1"/>
  <c r="AZ231" i="2"/>
  <c r="AP231" i="2"/>
  <c r="AO232" i="2"/>
  <c r="AQ232" i="2" s="1"/>
  <c r="AV230" i="2"/>
  <c r="AW230" i="2"/>
  <c r="AU231" i="3" l="1"/>
  <c r="AW231" i="3" s="1"/>
  <c r="AZ232" i="3"/>
  <c r="AO233" i="3"/>
  <c r="AP232" i="3"/>
  <c r="AR232" i="3"/>
  <c r="AQ232" i="3"/>
  <c r="AW230" i="3"/>
  <c r="AV230" i="3"/>
  <c r="AW233" i="8"/>
  <c r="AX233" i="8" s="1"/>
  <c r="AY233" i="8" s="1"/>
  <c r="BA233" i="8" s="1"/>
  <c r="AU234" i="8"/>
  <c r="AV234" i="8" s="1"/>
  <c r="AZ235" i="8"/>
  <c r="AO236" i="8"/>
  <c r="AP235" i="8"/>
  <c r="AR235" i="8"/>
  <c r="AR232" i="2"/>
  <c r="AU232" i="2" s="1"/>
  <c r="AZ232" i="2"/>
  <c r="AP232" i="2"/>
  <c r="AO233" i="2"/>
  <c r="AQ233" i="2" s="1"/>
  <c r="AX230" i="2"/>
  <c r="AY230" i="2" s="1"/>
  <c r="BA230" i="2" s="1"/>
  <c r="AV231" i="2"/>
  <c r="AW231" i="2"/>
  <c r="AV231" i="3" l="1"/>
  <c r="AX231" i="3" s="1"/>
  <c r="AY231" i="3" s="1"/>
  <c r="BA231" i="3" s="1"/>
  <c r="AU232" i="3"/>
  <c r="AV232" i="3" s="1"/>
  <c r="AX230" i="3"/>
  <c r="AY230" i="3" s="1"/>
  <c r="BA230" i="3" s="1"/>
  <c r="AQ233" i="3"/>
  <c r="AP233" i="3"/>
  <c r="AO234" i="3"/>
  <c r="AZ233" i="3"/>
  <c r="AR233" i="3"/>
  <c r="AW234" i="8"/>
  <c r="AX234" i="8" s="1"/>
  <c r="AY234" i="8" s="1"/>
  <c r="BA234" i="8" s="1"/>
  <c r="AU235" i="8"/>
  <c r="AV235" i="8" s="1"/>
  <c r="AZ236" i="8"/>
  <c r="AO237" i="8"/>
  <c r="AP236" i="8"/>
  <c r="AR236" i="8"/>
  <c r="AX231" i="2"/>
  <c r="AY231" i="2" s="1"/>
  <c r="BA231" i="2" s="1"/>
  <c r="AR233" i="2"/>
  <c r="AU233" i="2" s="1"/>
  <c r="AZ233" i="2"/>
  <c r="AP233" i="2"/>
  <c r="AO234" i="2"/>
  <c r="AQ234" i="2" s="1"/>
  <c r="AV232" i="2"/>
  <c r="AW232" i="2"/>
  <c r="AW232" i="3" l="1"/>
  <c r="AX232" i="3" s="1"/>
  <c r="AY232" i="3" s="1"/>
  <c r="BA232" i="3" s="1"/>
  <c r="AU233" i="3"/>
  <c r="AZ234" i="3"/>
  <c r="AP234" i="3"/>
  <c r="AR234" i="3"/>
  <c r="AQ234" i="3"/>
  <c r="AO235" i="3"/>
  <c r="AU236" i="8"/>
  <c r="AV236" i="8" s="1"/>
  <c r="AW235" i="8"/>
  <c r="AX235" i="8" s="1"/>
  <c r="AY235" i="8" s="1"/>
  <c r="BA235" i="8" s="1"/>
  <c r="AZ237" i="8"/>
  <c r="AO238" i="8"/>
  <c r="AP237" i="8"/>
  <c r="AR237" i="8"/>
  <c r="AR234" i="2"/>
  <c r="AU234" i="2" s="1"/>
  <c r="AZ234" i="2"/>
  <c r="AP234" i="2"/>
  <c r="AO235" i="2"/>
  <c r="AQ235" i="2" s="1"/>
  <c r="AX232" i="2"/>
  <c r="AY232" i="2" s="1"/>
  <c r="BA232" i="2" s="1"/>
  <c r="AV233" i="2"/>
  <c r="AW233" i="2"/>
  <c r="AU234" i="3" l="1"/>
  <c r="AV234" i="3" s="1"/>
  <c r="AP235" i="3"/>
  <c r="AO236" i="3"/>
  <c r="AZ235" i="3"/>
  <c r="AQ235" i="3"/>
  <c r="AR235" i="3"/>
  <c r="AV233" i="3"/>
  <c r="AW233" i="3"/>
  <c r="AW236" i="8"/>
  <c r="AX236" i="8" s="1"/>
  <c r="AY236" i="8" s="1"/>
  <c r="BA236" i="8" s="1"/>
  <c r="AU237" i="8"/>
  <c r="AV237" i="8" s="1"/>
  <c r="AZ238" i="8"/>
  <c r="AO239" i="8"/>
  <c r="AP238" i="8"/>
  <c r="AR238" i="8"/>
  <c r="AX233" i="2"/>
  <c r="AY233" i="2" s="1"/>
  <c r="BA233" i="2" s="1"/>
  <c r="AR235" i="2"/>
  <c r="AZ235" i="2"/>
  <c r="AP235" i="2"/>
  <c r="AO236" i="2"/>
  <c r="AQ236" i="2" s="1"/>
  <c r="AV234" i="2"/>
  <c r="AW234" i="2"/>
  <c r="AW234" i="3" l="1"/>
  <c r="AX234" i="3" s="1"/>
  <c r="AY234" i="3" s="1"/>
  <c r="BA234" i="3" s="1"/>
  <c r="AX233" i="3"/>
  <c r="AY233" i="3" s="1"/>
  <c r="BA233" i="3" s="1"/>
  <c r="AZ236" i="3"/>
  <c r="AO237" i="3"/>
  <c r="AP236" i="3"/>
  <c r="AR236" i="3"/>
  <c r="AQ236" i="3"/>
  <c r="AU235" i="3"/>
  <c r="AW237" i="8"/>
  <c r="AX237" i="8" s="1"/>
  <c r="AY237" i="8" s="1"/>
  <c r="BA237" i="8" s="1"/>
  <c r="AU238" i="8"/>
  <c r="AV238" i="8" s="1"/>
  <c r="AZ239" i="8"/>
  <c r="AO240" i="8"/>
  <c r="AP239" i="8"/>
  <c r="AR239" i="8"/>
  <c r="AR236" i="2"/>
  <c r="AU236" i="2" s="1"/>
  <c r="AZ236" i="2"/>
  <c r="AP236" i="2"/>
  <c r="AO237" i="2"/>
  <c r="AQ237" i="2" s="1"/>
  <c r="AX234" i="2"/>
  <c r="AY234" i="2" s="1"/>
  <c r="BA234" i="2" s="1"/>
  <c r="AU235" i="2"/>
  <c r="AU236" i="3" l="1"/>
  <c r="AW236" i="3" s="1"/>
  <c r="AV235" i="3"/>
  <c r="AW235" i="3"/>
  <c r="AQ237" i="3"/>
  <c r="AZ237" i="3"/>
  <c r="AR237" i="3"/>
  <c r="AP237" i="3"/>
  <c r="AO238" i="3"/>
  <c r="AW238" i="8"/>
  <c r="AX238" i="8" s="1"/>
  <c r="AY238" i="8" s="1"/>
  <c r="BA238" i="8" s="1"/>
  <c r="AU239" i="8"/>
  <c r="AV239" i="8" s="1"/>
  <c r="AZ240" i="8"/>
  <c r="AO241" i="8"/>
  <c r="AP240" i="8"/>
  <c r="AR240" i="8"/>
  <c r="AU240" i="8" s="1"/>
  <c r="AR237" i="2"/>
  <c r="AU237" i="2" s="1"/>
  <c r="AZ237" i="2"/>
  <c r="AP237" i="2"/>
  <c r="AO238" i="2"/>
  <c r="AQ238" i="2" s="1"/>
  <c r="AV235" i="2"/>
  <c r="AW235" i="2"/>
  <c r="AV236" i="2"/>
  <c r="AW236" i="2"/>
  <c r="AU237" i="3" l="1"/>
  <c r="AW237" i="3" s="1"/>
  <c r="AV236" i="3"/>
  <c r="AX236" i="3" s="1"/>
  <c r="AY236" i="3" s="1"/>
  <c r="BA236" i="3" s="1"/>
  <c r="AX235" i="3"/>
  <c r="AY235" i="3" s="1"/>
  <c r="BA235" i="3" s="1"/>
  <c r="AQ238" i="3"/>
  <c r="AP238" i="3"/>
  <c r="AR238" i="3"/>
  <c r="AZ238" i="3"/>
  <c r="AO239" i="3"/>
  <c r="AW239" i="8"/>
  <c r="AX239" i="8" s="1"/>
  <c r="AY239" i="8" s="1"/>
  <c r="BA239" i="8" s="1"/>
  <c r="AZ241" i="8"/>
  <c r="AO242" i="8"/>
  <c r="AP241" i="8"/>
  <c r="AR241" i="8"/>
  <c r="AV240" i="8"/>
  <c r="AW240" i="8"/>
  <c r="AX236" i="2"/>
  <c r="AY236" i="2" s="1"/>
  <c r="BA236" i="2" s="1"/>
  <c r="AX235" i="2"/>
  <c r="AY235" i="2" s="1"/>
  <c r="BA235" i="2" s="1"/>
  <c r="AR238" i="2"/>
  <c r="AU238" i="2" s="1"/>
  <c r="AZ238" i="2"/>
  <c r="AP238" i="2"/>
  <c r="AO239" i="2"/>
  <c r="AQ239" i="2" s="1"/>
  <c r="AV237" i="2"/>
  <c r="AW237" i="2"/>
  <c r="AV237" i="3" l="1"/>
  <c r="AX237" i="3" s="1"/>
  <c r="AY237" i="3" s="1"/>
  <c r="BA237" i="3" s="1"/>
  <c r="AR239" i="3"/>
  <c r="AQ239" i="3"/>
  <c r="AP239" i="3"/>
  <c r="AO240" i="3"/>
  <c r="AZ239" i="3"/>
  <c r="AU238" i="3"/>
  <c r="AU241" i="8"/>
  <c r="AV241" i="8" s="1"/>
  <c r="AX240" i="8"/>
  <c r="AY240" i="8" s="1"/>
  <c r="BA240" i="8" s="1"/>
  <c r="AZ242" i="8"/>
  <c r="AO243" i="8"/>
  <c r="AP242" i="8"/>
  <c r="AR242" i="8"/>
  <c r="AX237" i="2"/>
  <c r="AY237" i="2" s="1"/>
  <c r="BA237" i="2" s="1"/>
  <c r="AR239" i="2"/>
  <c r="AU239" i="2" s="1"/>
  <c r="AZ239" i="2"/>
  <c r="AP239" i="2"/>
  <c r="AO240" i="2"/>
  <c r="AQ240" i="2" s="1"/>
  <c r="AV238" i="2"/>
  <c r="AW238" i="2"/>
  <c r="AU239" i="3" l="1"/>
  <c r="AV239" i="3" s="1"/>
  <c r="AZ240" i="3"/>
  <c r="AO241" i="3"/>
  <c r="AQ240" i="3"/>
  <c r="AP240" i="3"/>
  <c r="AR240" i="3"/>
  <c r="AV238" i="3"/>
  <c r="AW238" i="3"/>
  <c r="AW241" i="8"/>
  <c r="AX241" i="8" s="1"/>
  <c r="AY241" i="8" s="1"/>
  <c r="BA241" i="8" s="1"/>
  <c r="AZ243" i="8"/>
  <c r="AO244" i="8"/>
  <c r="AP243" i="8"/>
  <c r="AR243" i="8"/>
  <c r="AU242" i="8"/>
  <c r="AX238" i="2"/>
  <c r="AY238" i="2" s="1"/>
  <c r="BA238" i="2" s="1"/>
  <c r="AR240" i="2"/>
  <c r="AU240" i="2" s="1"/>
  <c r="AZ240" i="2"/>
  <c r="AP240" i="2"/>
  <c r="AO241" i="2"/>
  <c r="AQ241" i="2" s="1"/>
  <c r="AV239" i="2"/>
  <c r="AW239" i="2"/>
  <c r="AW239" i="3" l="1"/>
  <c r="AX239" i="3" s="1"/>
  <c r="AY239" i="3" s="1"/>
  <c r="BA239" i="3" s="1"/>
  <c r="AU240" i="3"/>
  <c r="AV240" i="3" s="1"/>
  <c r="AX238" i="3"/>
  <c r="AY238" i="3" s="1"/>
  <c r="BA238" i="3" s="1"/>
  <c r="AZ241" i="3"/>
  <c r="AR241" i="3"/>
  <c r="AQ241" i="3"/>
  <c r="AO242" i="3"/>
  <c r="AP241" i="3"/>
  <c r="AW240" i="3"/>
  <c r="AU243" i="8"/>
  <c r="AW243" i="8" s="1"/>
  <c r="AZ244" i="8"/>
  <c r="AO245" i="8"/>
  <c r="AP244" i="8"/>
  <c r="AR244" i="8"/>
  <c r="AV242" i="8"/>
  <c r="AW242" i="8"/>
  <c r="AX239" i="2"/>
  <c r="AY239" i="2" s="1"/>
  <c r="BA239" i="2" s="1"/>
  <c r="AR241" i="2"/>
  <c r="AU241" i="2" s="1"/>
  <c r="AZ241" i="2"/>
  <c r="AP241" i="2"/>
  <c r="AO242" i="2"/>
  <c r="AQ242" i="2" s="1"/>
  <c r="AV240" i="2"/>
  <c r="AW240" i="2"/>
  <c r="AU241" i="3" l="1"/>
  <c r="AV241" i="3" s="1"/>
  <c r="AX240" i="3"/>
  <c r="AY240" i="3" s="1"/>
  <c r="BA240" i="3" s="1"/>
  <c r="AZ242" i="3"/>
  <c r="AO243" i="3"/>
  <c r="AP242" i="3"/>
  <c r="AR242" i="3"/>
  <c r="AQ242" i="3"/>
  <c r="AV243" i="8"/>
  <c r="AX243" i="8" s="1"/>
  <c r="AY243" i="8" s="1"/>
  <c r="BA243" i="8" s="1"/>
  <c r="AU244" i="8"/>
  <c r="AW244" i="8" s="1"/>
  <c r="AZ245" i="8"/>
  <c r="AO246" i="8"/>
  <c r="AP245" i="8"/>
  <c r="AR245" i="8"/>
  <c r="AX242" i="8"/>
  <c r="AY242" i="8" s="1"/>
  <c r="BA242" i="8" s="1"/>
  <c r="AX240" i="2"/>
  <c r="AY240" i="2" s="1"/>
  <c r="BA240" i="2" s="1"/>
  <c r="AR242" i="2"/>
  <c r="AU242" i="2" s="1"/>
  <c r="AZ242" i="2"/>
  <c r="AP242" i="2"/>
  <c r="AO243" i="2"/>
  <c r="AQ243" i="2" s="1"/>
  <c r="AV241" i="2"/>
  <c r="AW241" i="2"/>
  <c r="AW241" i="3" l="1"/>
  <c r="AX241" i="3" s="1"/>
  <c r="AY241" i="3" s="1"/>
  <c r="BA241" i="3" s="1"/>
  <c r="AX241" i="2"/>
  <c r="AY241" i="2" s="1"/>
  <c r="BA241" i="2" s="1"/>
  <c r="AU242" i="3"/>
  <c r="AV242" i="3" s="1"/>
  <c r="AR243" i="3"/>
  <c r="AQ243" i="3"/>
  <c r="AP243" i="3"/>
  <c r="AO244" i="3"/>
  <c r="AZ243" i="3"/>
  <c r="AV244" i="8"/>
  <c r="AX244" i="8" s="1"/>
  <c r="AY244" i="8" s="1"/>
  <c r="BA244" i="8" s="1"/>
  <c r="AU245" i="8"/>
  <c r="AW245" i="8" s="1"/>
  <c r="AZ246" i="8"/>
  <c r="AO247" i="8"/>
  <c r="AP246" i="8"/>
  <c r="AR246" i="8"/>
  <c r="AR243" i="2"/>
  <c r="AU243" i="2" s="1"/>
  <c r="AZ243" i="2"/>
  <c r="AP243" i="2"/>
  <c r="AO244" i="2"/>
  <c r="AQ244" i="2" s="1"/>
  <c r="AV242" i="2"/>
  <c r="AW242" i="2"/>
  <c r="AU243" i="3" l="1"/>
  <c r="AV243" i="3" s="1"/>
  <c r="AW242" i="3"/>
  <c r="AX242" i="3" s="1"/>
  <c r="AY242" i="3" s="1"/>
  <c r="BA242" i="3" s="1"/>
  <c r="AR244" i="3"/>
  <c r="AP244" i="3"/>
  <c r="AO245" i="3"/>
  <c r="AZ244" i="3"/>
  <c r="AQ244" i="3"/>
  <c r="AV245" i="8"/>
  <c r="AX245" i="8" s="1"/>
  <c r="AY245" i="8" s="1"/>
  <c r="BA245" i="8" s="1"/>
  <c r="AU246" i="8"/>
  <c r="AV246" i="8" s="1"/>
  <c r="AZ247" i="8"/>
  <c r="AO248" i="8"/>
  <c r="AP247" i="8"/>
  <c r="AR247" i="8"/>
  <c r="AR244" i="2"/>
  <c r="AU244" i="2" s="1"/>
  <c r="AZ244" i="2"/>
  <c r="AP244" i="2"/>
  <c r="AO245" i="2"/>
  <c r="AQ245" i="2" s="1"/>
  <c r="AX242" i="2"/>
  <c r="AY242" i="2" s="1"/>
  <c r="BA242" i="2" s="1"/>
  <c r="AV243" i="2"/>
  <c r="AW243" i="2"/>
  <c r="AW243" i="3" l="1"/>
  <c r="AX243" i="3" s="1"/>
  <c r="AY243" i="3" s="1"/>
  <c r="BA243" i="3" s="1"/>
  <c r="AP245" i="3"/>
  <c r="AQ245" i="3"/>
  <c r="AR245" i="3"/>
  <c r="AZ245" i="3"/>
  <c r="AO246" i="3"/>
  <c r="AU244" i="3"/>
  <c r="AW246" i="8"/>
  <c r="AX246" i="8" s="1"/>
  <c r="AY246" i="8" s="1"/>
  <c r="BA246" i="8" s="1"/>
  <c r="AU247" i="8"/>
  <c r="AV247" i="8" s="1"/>
  <c r="AZ248" i="8"/>
  <c r="AO249" i="8"/>
  <c r="AP248" i="8"/>
  <c r="AR248" i="8"/>
  <c r="AX243" i="2"/>
  <c r="AY243" i="2" s="1"/>
  <c r="BA243" i="2" s="1"/>
  <c r="AR245" i="2"/>
  <c r="AU245" i="2" s="1"/>
  <c r="AZ245" i="2"/>
  <c r="AP245" i="2"/>
  <c r="AO246" i="2"/>
  <c r="AQ246" i="2" s="1"/>
  <c r="AV244" i="2"/>
  <c r="AW244" i="2"/>
  <c r="AW244" i="3" l="1"/>
  <c r="AV244" i="3"/>
  <c r="AU245" i="3"/>
  <c r="AO247" i="3"/>
  <c r="AR246" i="3"/>
  <c r="AZ246" i="3"/>
  <c r="AQ246" i="3"/>
  <c r="AP246" i="3"/>
  <c r="AW247" i="8"/>
  <c r="AX247" i="8" s="1"/>
  <c r="AY247" i="8" s="1"/>
  <c r="BA247" i="8" s="1"/>
  <c r="AU248" i="8"/>
  <c r="AV248" i="8" s="1"/>
  <c r="AZ249" i="8"/>
  <c r="AO250" i="8"/>
  <c r="AP249" i="8"/>
  <c r="AR249" i="8"/>
  <c r="AR246" i="2"/>
  <c r="AU246" i="2" s="1"/>
  <c r="AZ246" i="2"/>
  <c r="AP246" i="2"/>
  <c r="AO247" i="2"/>
  <c r="AQ247" i="2" s="1"/>
  <c r="AX244" i="2"/>
  <c r="AY244" i="2" s="1"/>
  <c r="BA244" i="2" s="1"/>
  <c r="AV245" i="2"/>
  <c r="AW245" i="2"/>
  <c r="AX244" i="3" l="1"/>
  <c r="AY244" i="3" s="1"/>
  <c r="BA244" i="3" s="1"/>
  <c r="AR247" i="3"/>
  <c r="AZ247" i="3"/>
  <c r="AP247" i="3"/>
  <c r="AQ247" i="3"/>
  <c r="AO248" i="3"/>
  <c r="AV245" i="3"/>
  <c r="AW245" i="3"/>
  <c r="AU246" i="3"/>
  <c r="AW248" i="8"/>
  <c r="AX248" i="8" s="1"/>
  <c r="AY248" i="8" s="1"/>
  <c r="BA248" i="8" s="1"/>
  <c r="AU249" i="8"/>
  <c r="AW249" i="8" s="1"/>
  <c r="AZ250" i="8"/>
  <c r="AP250" i="8"/>
  <c r="AR250" i="8"/>
  <c r="AU250" i="8" s="1"/>
  <c r="AX245" i="2"/>
  <c r="AY245" i="2" s="1"/>
  <c r="BA245" i="2" s="1"/>
  <c r="AR247" i="2"/>
  <c r="AU247" i="2" s="1"/>
  <c r="AZ247" i="2"/>
  <c r="AP247" i="2"/>
  <c r="AO248" i="2"/>
  <c r="AQ248" i="2" s="1"/>
  <c r="AV246" i="2"/>
  <c r="AW246" i="2"/>
  <c r="AU247" i="3" l="1"/>
  <c r="AV247" i="3" s="1"/>
  <c r="AV246" i="3"/>
  <c r="AW246" i="3"/>
  <c r="AX245" i="3"/>
  <c r="AY245" i="3" s="1"/>
  <c r="BA245" i="3" s="1"/>
  <c r="AO249" i="3"/>
  <c r="AR248" i="3"/>
  <c r="AZ248" i="3"/>
  <c r="AQ248" i="3"/>
  <c r="AP248" i="3"/>
  <c r="AV249" i="8"/>
  <c r="AX249" i="8" s="1"/>
  <c r="AY249" i="8" s="1"/>
  <c r="BA249" i="8" s="1"/>
  <c r="AW250" i="8"/>
  <c r="AV250" i="8"/>
  <c r="AX250" i="8" s="1"/>
  <c r="AY250" i="8" s="1"/>
  <c r="BA250" i="8" s="1"/>
  <c r="AR248" i="2"/>
  <c r="AU248" i="2" s="1"/>
  <c r="AZ248" i="2"/>
  <c r="AP248" i="2"/>
  <c r="AO249" i="2"/>
  <c r="AQ249" i="2" s="1"/>
  <c r="AX246" i="2"/>
  <c r="AY246" i="2" s="1"/>
  <c r="BA246" i="2" s="1"/>
  <c r="AV247" i="2"/>
  <c r="AW247" i="2"/>
  <c r="AW247" i="3" l="1"/>
  <c r="AX247" i="3" s="1"/>
  <c r="AY247" i="3" s="1"/>
  <c r="BA247" i="3" s="1"/>
  <c r="AU248" i="3"/>
  <c r="AP249" i="3"/>
  <c r="AQ249" i="3"/>
  <c r="AO250" i="3"/>
  <c r="AR249" i="3"/>
  <c r="AZ249" i="3"/>
  <c r="AX246" i="3"/>
  <c r="AY246" i="3" s="1"/>
  <c r="BA246" i="3" s="1"/>
  <c r="AX247" i="2"/>
  <c r="AY247" i="2" s="1"/>
  <c r="BA247" i="2" s="1"/>
  <c r="AR249" i="2"/>
  <c r="AU249" i="2" s="1"/>
  <c r="AZ249" i="2"/>
  <c r="AP249" i="2"/>
  <c r="AV248" i="2"/>
  <c r="AW248" i="2"/>
  <c r="AU249" i="3" l="1"/>
  <c r="AV249" i="3" s="1"/>
  <c r="AZ250" i="3"/>
  <c r="AP250" i="3"/>
  <c r="AR250" i="3"/>
  <c r="AQ250" i="3"/>
  <c r="AV248" i="3"/>
  <c r="AW248" i="3"/>
  <c r="AX248" i="2"/>
  <c r="AY248" i="2" s="1"/>
  <c r="BA248" i="2" s="1"/>
  <c r="AV249" i="2"/>
  <c r="AW249" i="2"/>
  <c r="AW249" i="3" l="1"/>
  <c r="AX249" i="3" s="1"/>
  <c r="AY249" i="3" s="1"/>
  <c r="BA249" i="3" s="1"/>
  <c r="AU250" i="3"/>
  <c r="AW250" i="3" s="1"/>
  <c r="AX248" i="3"/>
  <c r="AY248" i="3" s="1"/>
  <c r="BA248" i="3" s="1"/>
  <c r="AX249" i="2"/>
  <c r="AY249" i="2" s="1"/>
  <c r="BA249" i="2" s="1"/>
  <c r="AV250" i="3" l="1"/>
  <c r="AX250" i="3" s="1"/>
  <c r="AY250" i="3" s="1"/>
  <c r="BA250" i="3" s="1"/>
</calcChain>
</file>

<file path=xl/sharedStrings.xml><?xml version="1.0" encoding="utf-8"?>
<sst xmlns="http://schemas.openxmlformats.org/spreadsheetml/2006/main" count="1239" uniqueCount="352">
  <si>
    <t xml:space="preserve"> </t>
  </si>
  <si>
    <t>kV</t>
  </si>
  <si>
    <t>MVAR</t>
  </si>
  <si>
    <t>Ohms</t>
  </si>
  <si>
    <t>h</t>
  </si>
  <si>
    <t>ohms</t>
  </si>
  <si>
    <t>H</t>
  </si>
  <si>
    <t>f</t>
  </si>
  <si>
    <t>(HZ)</t>
  </si>
  <si>
    <t>mH</t>
  </si>
  <si>
    <t>frequency</t>
  </si>
  <si>
    <t>kvar</t>
  </si>
  <si>
    <t>amps</t>
  </si>
  <si>
    <t>Effective reactance of the harmonic filter</t>
  </si>
  <si>
    <t>Nominal System Line-to-Line Voltage</t>
  </si>
  <si>
    <t>Capacitive reactance of the harmonic filter capacitor at fundamental frequency</t>
  </si>
  <si>
    <t>Inductive Reactance of the harmonic filter reactor at fundamental frequency</t>
  </si>
  <si>
    <t>Fundamental Current Rating of Filter Bank</t>
  </si>
  <si>
    <t>Reactor Henry Rating (milliHenrys)</t>
  </si>
  <si>
    <t>Fundamental Voltage Drop Across Capacitor</t>
  </si>
  <si>
    <t>harmonic number of tuning filter tuning point</t>
  </si>
  <si>
    <t>Where:</t>
  </si>
  <si>
    <t>Harmonic Voltage Drop Across Capacitor</t>
  </si>
  <si>
    <t>Capacitor RMS Voltage (Fundamental Voltage + Harmonic Voltages)</t>
  </si>
  <si>
    <t>Capacitor Voltage assuming or harmonics are coincident</t>
  </si>
  <si>
    <r>
      <t>kV</t>
    </r>
    <r>
      <rPr>
        <b/>
        <vertAlign val="subscript"/>
        <sz val="12"/>
        <color theme="1"/>
        <rFont val="Calibri"/>
        <family val="2"/>
        <scheme val="minor"/>
      </rPr>
      <t>LLsys</t>
    </r>
  </si>
  <si>
    <r>
      <t>Q</t>
    </r>
    <r>
      <rPr>
        <b/>
        <vertAlign val="subscript"/>
        <sz val="12"/>
        <color theme="1"/>
        <rFont val="Calibri"/>
        <family val="2"/>
        <scheme val="minor"/>
      </rPr>
      <t>eff</t>
    </r>
  </si>
  <si>
    <r>
      <t>X</t>
    </r>
    <r>
      <rPr>
        <b/>
        <vertAlign val="subscript"/>
        <sz val="12"/>
        <color theme="1"/>
        <rFont val="Calibri"/>
        <family val="2"/>
        <scheme val="minor"/>
      </rPr>
      <t>c</t>
    </r>
  </si>
  <si>
    <r>
      <t>Q</t>
    </r>
    <r>
      <rPr>
        <b/>
        <vertAlign val="subscript"/>
        <sz val="11"/>
        <color theme="1"/>
        <rFont val="Calibri"/>
        <family val="2"/>
        <scheme val="minor"/>
      </rPr>
      <t>RATED PER PHASE</t>
    </r>
  </si>
  <si>
    <r>
      <t>I</t>
    </r>
    <r>
      <rPr>
        <b/>
        <vertAlign val="subscript"/>
        <sz val="11"/>
        <color theme="1"/>
        <rFont val="Calibri"/>
        <family val="2"/>
        <scheme val="minor"/>
      </rPr>
      <t>RATED FUNDAMENTAL</t>
    </r>
  </si>
  <si>
    <r>
      <t>V</t>
    </r>
    <r>
      <rPr>
        <b/>
        <vertAlign val="subscript"/>
        <sz val="11"/>
        <color theme="1"/>
        <rFont val="Calibri"/>
        <family val="2"/>
        <scheme val="minor"/>
      </rPr>
      <t>CAP FUNDAMENTAL VOLTAGE</t>
    </r>
    <r>
      <rPr>
        <b/>
        <sz val="11"/>
        <color theme="1"/>
        <rFont val="Calibri"/>
        <family val="2"/>
        <scheme val="minor"/>
      </rPr>
      <t xml:space="preserve"> </t>
    </r>
  </si>
  <si>
    <r>
      <t>Harmonic #: (</t>
    </r>
    <r>
      <rPr>
        <b/>
        <i/>
        <sz val="11"/>
        <color theme="1"/>
        <rFont val="Calibri"/>
        <family val="2"/>
        <scheme val="minor"/>
      </rPr>
      <t>n</t>
    </r>
    <r>
      <rPr>
        <b/>
        <sz val="11"/>
        <color theme="1"/>
        <rFont val="Calibri"/>
        <family val="2"/>
        <scheme val="minor"/>
      </rPr>
      <t>)</t>
    </r>
  </si>
  <si>
    <r>
      <t>Filter Current (amps) (I</t>
    </r>
    <r>
      <rPr>
        <b/>
        <i/>
        <vertAlign val="subscript"/>
        <sz val="11"/>
        <color theme="1"/>
        <rFont val="Calibri"/>
        <family val="2"/>
        <scheme val="minor"/>
      </rPr>
      <t>n</t>
    </r>
    <r>
      <rPr>
        <b/>
        <sz val="11"/>
        <color theme="1"/>
        <rFont val="Calibri"/>
        <family val="2"/>
        <scheme val="minor"/>
      </rPr>
      <t>)</t>
    </r>
  </si>
  <si>
    <r>
      <t>V</t>
    </r>
    <r>
      <rPr>
        <b/>
        <vertAlign val="subscript"/>
        <sz val="11"/>
        <color theme="1"/>
        <rFont val="Calibri"/>
        <family val="2"/>
        <scheme val="minor"/>
      </rPr>
      <t xml:space="preserve">CAP HARMONIC VOLTAGE  </t>
    </r>
    <r>
      <rPr>
        <b/>
        <sz val="11"/>
        <color theme="1"/>
        <rFont val="Calibri"/>
        <family val="2"/>
        <scheme val="minor"/>
      </rPr>
      <t>(volts)</t>
    </r>
  </si>
  <si>
    <r>
      <t>V</t>
    </r>
    <r>
      <rPr>
        <b/>
        <vertAlign val="subscript"/>
        <sz val="11"/>
        <color theme="1"/>
        <rFont val="Calibri"/>
        <family val="2"/>
        <scheme val="minor"/>
      </rPr>
      <t>CAP RMS VOLTAGE</t>
    </r>
  </si>
  <si>
    <r>
      <t>V</t>
    </r>
    <r>
      <rPr>
        <b/>
        <vertAlign val="subscript"/>
        <sz val="11"/>
        <color theme="1"/>
        <rFont val="Calibri"/>
        <family val="2"/>
        <scheme val="minor"/>
      </rPr>
      <t>PEAK CAP VOLTAGE</t>
    </r>
  </si>
  <si>
    <r>
      <t>X</t>
    </r>
    <r>
      <rPr>
        <b/>
        <vertAlign val="subscript"/>
        <sz val="11"/>
        <color theme="1"/>
        <rFont val="Calibri"/>
        <family val="2"/>
        <scheme val="minor"/>
      </rPr>
      <t>eff</t>
    </r>
  </si>
  <si>
    <r>
      <t>Q</t>
    </r>
    <r>
      <rPr>
        <b/>
        <vertAlign val="subscript"/>
        <sz val="11"/>
        <color theme="1"/>
        <rFont val="Calibri"/>
        <family val="2"/>
        <scheme val="minor"/>
      </rPr>
      <t>eff</t>
    </r>
  </si>
  <si>
    <r>
      <t>V</t>
    </r>
    <r>
      <rPr>
        <b/>
        <vertAlign val="subscript"/>
        <sz val="11"/>
        <color theme="1"/>
        <rFont val="Calibri"/>
        <family val="2"/>
        <scheme val="minor"/>
      </rPr>
      <t>LLSYS</t>
    </r>
  </si>
  <si>
    <r>
      <t>X</t>
    </r>
    <r>
      <rPr>
        <b/>
        <vertAlign val="subscript"/>
        <sz val="11"/>
        <color theme="1"/>
        <rFont val="Calibri"/>
        <family val="2"/>
        <scheme val="minor"/>
      </rPr>
      <t>C</t>
    </r>
  </si>
  <si>
    <r>
      <t>X</t>
    </r>
    <r>
      <rPr>
        <b/>
        <vertAlign val="subscript"/>
        <sz val="11"/>
        <color theme="1"/>
        <rFont val="Calibri"/>
        <family val="2"/>
        <scheme val="minor"/>
      </rPr>
      <t>L</t>
    </r>
  </si>
  <si>
    <r>
      <t>I</t>
    </r>
    <r>
      <rPr>
        <b/>
        <vertAlign val="subscript"/>
        <sz val="11"/>
        <color theme="1"/>
        <rFont val="Calibri"/>
        <family val="2"/>
        <scheme val="minor"/>
      </rPr>
      <t xml:space="preserve">RATED FUNDAMENTAL </t>
    </r>
  </si>
  <si>
    <r>
      <t>V</t>
    </r>
    <r>
      <rPr>
        <b/>
        <vertAlign val="subscript"/>
        <sz val="11"/>
        <color theme="1"/>
        <rFont val="Calibri"/>
        <family val="2"/>
        <scheme val="minor"/>
      </rPr>
      <t>CAP FUNDAMENTAL VOLTAGE</t>
    </r>
  </si>
  <si>
    <r>
      <t>V</t>
    </r>
    <r>
      <rPr>
        <b/>
        <vertAlign val="subscript"/>
        <sz val="11"/>
        <color theme="1"/>
        <rFont val="Calibri"/>
        <family val="2"/>
        <scheme val="minor"/>
      </rPr>
      <t>CAP HARMONIC VOLTAGE</t>
    </r>
  </si>
  <si>
    <t>* Formulas taken From IEEE Std. 1531-2003 - IEEE Guide for Application and Specification of Harmonic Filters</t>
  </si>
  <si>
    <t>Northeast Power Systems, Inc.</t>
  </si>
  <si>
    <t xml:space="preserve">66 Carey Road, Queensbury, NY              </t>
  </si>
  <si>
    <t>Phone: (518) 792-4776   Fax: (518) 792-5767    www.nepsi.com</t>
  </si>
  <si>
    <t>N</t>
  </si>
  <si>
    <t>Number of Capacitors per phase</t>
  </si>
  <si>
    <r>
      <t>V</t>
    </r>
    <r>
      <rPr>
        <b/>
        <vertAlign val="subscript"/>
        <sz val="11"/>
        <color theme="1"/>
        <rFont val="Calibri"/>
        <family val="2"/>
        <scheme val="minor"/>
      </rPr>
      <t>CAP var rating</t>
    </r>
  </si>
  <si>
    <t>Capacitor Can Var Rating (in Kvar)</t>
  </si>
  <si>
    <r>
      <t>I</t>
    </r>
    <r>
      <rPr>
        <b/>
        <vertAlign val="subscript"/>
        <sz val="11"/>
        <color theme="1"/>
        <rFont val="Calibri"/>
        <family val="2"/>
        <scheme val="minor"/>
      </rPr>
      <t>CAP RMS CURRENT</t>
    </r>
  </si>
  <si>
    <t>AMPS</t>
  </si>
  <si>
    <r>
      <t>I</t>
    </r>
    <r>
      <rPr>
        <b/>
        <vertAlign val="subscript"/>
        <sz val="11"/>
        <color theme="1"/>
        <rFont val="Calibri"/>
        <family val="2"/>
        <scheme val="minor"/>
      </rPr>
      <t>FILTER RMS CURRENT</t>
    </r>
  </si>
  <si>
    <t>RMS Current Seen By Capacitor (amps)</t>
  </si>
  <si>
    <t>RMS Current into Filter Branch (amps)</t>
  </si>
  <si>
    <t>VCAP HARMONIC VOLTAGE  (volts)^2</t>
  </si>
  <si>
    <t>Filter Current (amps) (In)^2</t>
  </si>
  <si>
    <t>kvar (single phase)</t>
  </si>
  <si>
    <r>
      <t>Q</t>
    </r>
    <r>
      <rPr>
        <b/>
        <vertAlign val="subscript"/>
        <sz val="11"/>
        <color theme="1"/>
        <rFont val="Calibri"/>
        <family val="2"/>
        <scheme val="minor"/>
      </rPr>
      <t xml:space="preserve">FILTER </t>
    </r>
  </si>
  <si>
    <t>Effective Reactive Power (MVAR) of the harmonic filter (fundamental current only, not including harmonics)</t>
  </si>
  <si>
    <t>Kvar rating of harmonic filter. Includes reactive power associated with fundamental and harmonic current.</t>
  </si>
  <si>
    <t>kvar rating of capacitors at their rated voltage (not the application voltage)</t>
  </si>
  <si>
    <t>harmonic #</t>
  </si>
  <si>
    <t>Total filter amps</t>
  </si>
  <si>
    <t>R &amp; X EQUIVALENT IMPEDANCE</t>
  </si>
  <si>
    <t>I REACTOR</t>
  </si>
  <si>
    <r>
      <t>I</t>
    </r>
    <r>
      <rPr>
        <b/>
        <vertAlign val="subscript"/>
        <sz val="11"/>
        <color theme="1"/>
        <rFont val="Calibri"/>
        <family val="2"/>
        <scheme val="minor"/>
      </rPr>
      <t xml:space="preserve">REACTOR CURRENT  </t>
    </r>
    <r>
      <rPr>
        <b/>
        <sz val="11"/>
        <color theme="1"/>
        <rFont val="Calibri"/>
        <family val="2"/>
        <scheme val="minor"/>
      </rPr>
      <t>(amps)</t>
    </r>
  </si>
  <si>
    <r>
      <t>I</t>
    </r>
    <r>
      <rPr>
        <b/>
        <vertAlign val="subscript"/>
        <sz val="11"/>
        <color theme="1"/>
        <rFont val="Calibri"/>
        <family val="2"/>
        <scheme val="minor"/>
      </rPr>
      <t xml:space="preserve">RESISTOR CURRENT  </t>
    </r>
    <r>
      <rPr>
        <b/>
        <sz val="11"/>
        <color theme="1"/>
        <rFont val="Calibri"/>
        <family val="2"/>
        <scheme val="minor"/>
      </rPr>
      <t>(amps)</t>
    </r>
  </si>
  <si>
    <t>DF</t>
  </si>
  <si>
    <t>Damping Factor is defined as the resistance of the resistor to the reactance of the reactor at the filter tuned frequency</t>
  </si>
  <si>
    <r>
      <t>Q</t>
    </r>
    <r>
      <rPr>
        <b/>
        <vertAlign val="subscript"/>
        <sz val="11"/>
        <color theme="1"/>
        <rFont val="Calibri"/>
        <family val="2"/>
        <scheme val="minor"/>
      </rPr>
      <t>MAIN RATED PER PHASE</t>
    </r>
  </si>
  <si>
    <t>kvar rating of MAAIN capacitors at their rated voltage (not the application voltage)</t>
  </si>
  <si>
    <r>
      <t>V</t>
    </r>
    <r>
      <rPr>
        <b/>
        <vertAlign val="subscript"/>
        <sz val="11"/>
        <color theme="1"/>
        <rFont val="Calibri"/>
        <family val="2"/>
        <scheme val="minor"/>
      </rPr>
      <t>CAP MAIN FUNDAMENTAL VOLTAGE</t>
    </r>
    <r>
      <rPr>
        <b/>
        <sz val="11"/>
        <color theme="1"/>
        <rFont val="Calibri"/>
        <family val="2"/>
        <scheme val="minor"/>
      </rPr>
      <t xml:space="preserve"> </t>
    </r>
  </si>
  <si>
    <r>
      <t>V</t>
    </r>
    <r>
      <rPr>
        <b/>
        <vertAlign val="subscript"/>
        <sz val="11"/>
        <color theme="1"/>
        <rFont val="Calibri"/>
        <family val="2"/>
        <scheme val="minor"/>
      </rPr>
      <t>CAP AUX FUNDAMENTAL VOLTAGE</t>
    </r>
  </si>
  <si>
    <r>
      <t>V</t>
    </r>
    <r>
      <rPr>
        <b/>
        <vertAlign val="subscript"/>
        <sz val="11"/>
        <color theme="1"/>
        <rFont val="Calibri"/>
        <family val="2"/>
        <scheme val="minor"/>
      </rPr>
      <t xml:space="preserve">CAP MAIN HARMONIC VOLTAGE  </t>
    </r>
    <r>
      <rPr>
        <b/>
        <sz val="11"/>
        <color theme="1"/>
        <rFont val="Calibri"/>
        <family val="2"/>
        <scheme val="minor"/>
      </rPr>
      <t>(volts)</t>
    </r>
  </si>
  <si>
    <r>
      <t>V</t>
    </r>
    <r>
      <rPr>
        <b/>
        <vertAlign val="subscript"/>
        <sz val="11"/>
        <color theme="1"/>
        <rFont val="Calibri"/>
        <family val="2"/>
        <scheme val="minor"/>
      </rPr>
      <t>CAP MAIN RMS VOLTAGE</t>
    </r>
  </si>
  <si>
    <t>MAIN Capacitor RMS Voltage (Fundamental Voltage + Harmonic Voltages)</t>
  </si>
  <si>
    <r>
      <t>V</t>
    </r>
    <r>
      <rPr>
        <b/>
        <vertAlign val="subscript"/>
        <sz val="11"/>
        <color theme="1"/>
        <rFont val="Calibri"/>
        <family val="2"/>
        <scheme val="minor"/>
      </rPr>
      <t>CAP MAIN PEAK CAP VOLTAGE</t>
    </r>
  </si>
  <si>
    <t>kvar (single phase) MAIN CAP</t>
  </si>
  <si>
    <r>
      <t>Q</t>
    </r>
    <r>
      <rPr>
        <b/>
        <vertAlign val="subscript"/>
        <sz val="11"/>
        <color theme="1"/>
        <rFont val="Calibri"/>
        <family val="2"/>
        <scheme val="minor"/>
      </rPr>
      <t>AUX RATED PER PHASE</t>
    </r>
  </si>
  <si>
    <t>kW/Phase</t>
  </si>
  <si>
    <t>Hz</t>
  </si>
  <si>
    <t>(harmonic #)</t>
  </si>
  <si>
    <t>Aux Cap Capacitive Reactance (per can):</t>
  </si>
  <si>
    <t>Aux Cap Main Capacitance (per can):</t>
  </si>
  <si>
    <t>Main Cap Capacitive Reactance (per can):</t>
  </si>
  <si>
    <t>Main Cap Capacitance (per can):</t>
  </si>
  <si>
    <t>MAIN CAPACITOR PARAMETERS</t>
  </si>
  <si>
    <t>AUX CAPACITOR PARAMETERS</t>
  </si>
  <si>
    <t>% RATED VOLTS</t>
  </si>
  <si>
    <t>% CREST VOLTAGE</t>
  </si>
  <si>
    <t>% FUND AMPS</t>
  </si>
  <si>
    <t>% FUND KVAR</t>
  </si>
  <si>
    <t>Minimum Recommended Fuse Rating (amps) on AUX Capacitors (if present)</t>
  </si>
  <si>
    <t>AUX Capacitor Can Rating (kvar)</t>
  </si>
  <si>
    <t>Table below handles the aux capacitor, inductor and resistor for loss, voltage, and rms calculations</t>
  </si>
  <si>
    <t>Vcap aux harmonic voltage^2</t>
  </si>
  <si>
    <t>Vcap aux Harmonic Voltage</t>
  </si>
  <si>
    <t>KVAR (SINGLE PHASE) AUX CAP</t>
  </si>
  <si>
    <t>MAIN CAPACITOR DESIGN RATINGS VS IEEE/ANSI MAXIMUMS</t>
  </si>
  <si>
    <t>AUX CAPACITOR DESIGN RATINGS VS IEEE/ANSI MAXIMUMS</t>
  </si>
  <si>
    <r>
      <t>kV</t>
    </r>
    <r>
      <rPr>
        <b/>
        <vertAlign val="subscript"/>
        <sz val="11"/>
        <color theme="1"/>
        <rFont val="Calibri"/>
        <family val="2"/>
        <scheme val="minor"/>
      </rPr>
      <t xml:space="preserve">LLsys </t>
    </r>
    <r>
      <rPr>
        <sz val="11"/>
        <color theme="1"/>
        <rFont val="Calibri"/>
        <family val="2"/>
        <scheme val="minor"/>
      </rPr>
      <t>(System Line-to-Line Voltage Rating)</t>
    </r>
  </si>
  <si>
    <r>
      <t>Q</t>
    </r>
    <r>
      <rPr>
        <b/>
        <vertAlign val="subscript"/>
        <sz val="11"/>
        <color theme="1"/>
        <rFont val="Calibri"/>
        <family val="2"/>
        <scheme val="minor"/>
      </rPr>
      <t>eff</t>
    </r>
    <r>
      <rPr>
        <vertAlign val="subscript"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(3-Phase Output Rating of Filter)</t>
    </r>
  </si>
  <si>
    <r>
      <t xml:space="preserve">h </t>
    </r>
    <r>
      <rPr>
        <sz val="11"/>
        <color theme="1"/>
        <rFont val="Calibri"/>
        <family val="2"/>
        <scheme val="minor"/>
      </rPr>
      <t>(Tuning Point of Filter)</t>
    </r>
  </si>
  <si>
    <r>
      <t xml:space="preserve">f </t>
    </r>
    <r>
      <rPr>
        <sz val="11"/>
        <color theme="1"/>
        <rFont val="Calibri"/>
        <family val="2"/>
        <scheme val="minor"/>
      </rPr>
      <t>(System Frequency)</t>
    </r>
  </si>
  <si>
    <r>
      <t>h</t>
    </r>
    <r>
      <rPr>
        <vertAlign val="subscript"/>
        <sz val="11"/>
        <color theme="1"/>
        <rFont val="Calibri"/>
        <family val="2"/>
        <scheme val="minor"/>
      </rPr>
      <t>Frequency</t>
    </r>
  </si>
  <si>
    <r>
      <t>X</t>
    </r>
    <r>
      <rPr>
        <b/>
        <vertAlign val="subscript"/>
        <sz val="11"/>
        <color theme="1"/>
        <rFont val="Calibri"/>
        <family val="2"/>
        <scheme val="minor"/>
      </rPr>
      <t xml:space="preserve">eff </t>
    </r>
    <r>
      <rPr>
        <sz val="11"/>
        <color theme="1"/>
        <rFont val="Calibri"/>
        <family val="2"/>
        <scheme val="minor"/>
      </rPr>
      <t>(effective reactance of Filter Bank)</t>
    </r>
  </si>
  <si>
    <r>
      <t xml:space="preserve">DF </t>
    </r>
    <r>
      <rPr>
        <sz val="11"/>
        <color theme="1"/>
        <rFont val="Calibri"/>
        <family val="2"/>
        <scheme val="minor"/>
      </rPr>
      <t>(Damping Factor)</t>
    </r>
  </si>
  <si>
    <r>
      <t xml:space="preserve">R </t>
    </r>
    <r>
      <rPr>
        <sz val="11"/>
        <color theme="1"/>
        <rFont val="Calibri"/>
        <family val="2"/>
        <scheme val="minor"/>
      </rPr>
      <t>(Resistor Ohm Rating/Phase)</t>
    </r>
  </si>
  <si>
    <r>
      <t>(R</t>
    </r>
    <r>
      <rPr>
        <b/>
        <vertAlign val="subscript"/>
        <sz val="11"/>
        <color theme="1"/>
        <rFont val="Calibri"/>
        <family val="2"/>
        <scheme val="minor"/>
      </rPr>
      <t>w</t>
    </r>
    <r>
      <rPr>
        <b/>
        <sz val="11"/>
        <color theme="1"/>
        <rFont val="Calibri"/>
        <family val="2"/>
        <scheme val="minor"/>
      </rPr>
      <t xml:space="preserve">) </t>
    </r>
    <r>
      <rPr>
        <sz val="11"/>
        <color theme="1"/>
        <rFont val="Calibri"/>
        <family val="2"/>
        <scheme val="minor"/>
      </rPr>
      <t>(Resistor KW/Phase)</t>
    </r>
  </si>
  <si>
    <r>
      <t>X</t>
    </r>
    <r>
      <rPr>
        <b/>
        <vertAlign val="subscript"/>
        <sz val="11"/>
        <color theme="1"/>
        <rFont val="Calibri"/>
        <family val="2"/>
        <scheme val="minor"/>
      </rPr>
      <t>C-MAIN</t>
    </r>
  </si>
  <si>
    <r>
      <t>X</t>
    </r>
    <r>
      <rPr>
        <b/>
        <vertAlign val="subscript"/>
        <sz val="11"/>
        <color theme="1"/>
        <rFont val="Calibri"/>
        <family val="2"/>
        <scheme val="minor"/>
      </rPr>
      <t>C-AUX</t>
    </r>
  </si>
  <si>
    <r>
      <t xml:space="preserve">H </t>
    </r>
    <r>
      <rPr>
        <sz val="11"/>
        <color theme="1"/>
        <rFont val="Calibri"/>
        <family val="2"/>
        <scheme val="minor"/>
      </rPr>
      <t>(Inductance of Reactor)</t>
    </r>
  </si>
  <si>
    <r>
      <t>V</t>
    </r>
    <r>
      <rPr>
        <b/>
        <vertAlign val="subscript"/>
        <sz val="11"/>
        <color theme="1"/>
        <rFont val="Calibri"/>
        <family val="2"/>
        <scheme val="minor"/>
      </rPr>
      <t>CAP MAIN RATING</t>
    </r>
  </si>
  <si>
    <r>
      <t>I</t>
    </r>
    <r>
      <rPr>
        <b/>
        <vertAlign val="subscript"/>
        <sz val="11"/>
        <color theme="1"/>
        <rFont val="Calibri"/>
        <family val="2"/>
        <scheme val="minor"/>
      </rPr>
      <t>MAIN CAP RMS CURRENT</t>
    </r>
  </si>
  <si>
    <r>
      <t>Q</t>
    </r>
    <r>
      <rPr>
        <b/>
        <vertAlign val="subscript"/>
        <sz val="11"/>
        <color theme="1"/>
        <rFont val="Calibri"/>
        <family val="2"/>
        <scheme val="minor"/>
      </rPr>
      <t>MAIN CAPACITROR (1-phase)</t>
    </r>
  </si>
  <si>
    <r>
      <t>V</t>
    </r>
    <r>
      <rPr>
        <b/>
        <vertAlign val="subscript"/>
        <sz val="11"/>
        <color theme="1"/>
        <rFont val="Calibri"/>
        <family val="2"/>
        <scheme val="minor"/>
      </rPr>
      <t>CAP AUX RATING</t>
    </r>
  </si>
  <si>
    <r>
      <t>V</t>
    </r>
    <r>
      <rPr>
        <b/>
        <vertAlign val="subscript"/>
        <sz val="11"/>
        <color theme="1"/>
        <rFont val="Calibri"/>
        <family val="2"/>
        <scheme val="minor"/>
      </rPr>
      <t>CAP AUX RMS VOLTAGE</t>
    </r>
  </si>
  <si>
    <r>
      <t>V</t>
    </r>
    <r>
      <rPr>
        <b/>
        <vertAlign val="subscript"/>
        <sz val="11"/>
        <color theme="1"/>
        <rFont val="Calibri"/>
        <family val="2"/>
        <scheme val="minor"/>
      </rPr>
      <t>CAP AUX PEAK CAP VOLTAGE</t>
    </r>
  </si>
  <si>
    <r>
      <t>I</t>
    </r>
    <r>
      <rPr>
        <b/>
        <vertAlign val="subscript"/>
        <sz val="11"/>
        <color theme="1"/>
        <rFont val="Calibri"/>
        <family val="2"/>
        <scheme val="minor"/>
      </rPr>
      <t>CAP AUX RMS CURRENT</t>
    </r>
  </si>
  <si>
    <r>
      <t>Q</t>
    </r>
    <r>
      <rPr>
        <b/>
        <vertAlign val="subscript"/>
        <sz val="11"/>
        <color theme="1"/>
        <rFont val="Calibri"/>
        <family val="2"/>
        <scheme val="minor"/>
      </rPr>
      <t>AUX CAPACITROR (1-phase)</t>
    </r>
  </si>
  <si>
    <t>FILTER BANK DESIGN CALCULATIONS - HIGH-PASS FILTER DESIGN</t>
  </si>
  <si>
    <t>FILTER BANK DESIGN CALCULATIONS - NOTCH FILTER DESIGN</t>
  </si>
  <si>
    <t>FILTER BANK DESIGN CALCULATIONS - C-HIGH-PASS FILTER DESIGN</t>
  </si>
  <si>
    <t>Shunt Reactor Design</t>
  </si>
  <si>
    <r>
      <t>Q</t>
    </r>
    <r>
      <rPr>
        <b/>
        <vertAlign val="subscript"/>
        <sz val="12"/>
        <color theme="1"/>
        <rFont val="Calibri"/>
        <family val="2"/>
        <scheme val="minor"/>
      </rPr>
      <t xml:space="preserve">eff </t>
    </r>
    <r>
      <rPr>
        <sz val="12"/>
        <color theme="1"/>
        <rFont val="Calibri"/>
        <family val="2"/>
        <scheme val="minor"/>
      </rPr>
      <t>(3</t>
    </r>
    <r>
      <rPr>
        <sz val="12"/>
        <color theme="1"/>
        <rFont val="Calibri"/>
        <family val="2"/>
      </rPr>
      <t>Ø Ouput MVAR of shunt reactor)</t>
    </r>
  </si>
  <si>
    <r>
      <t>I</t>
    </r>
    <r>
      <rPr>
        <b/>
        <vertAlign val="subscript"/>
        <sz val="12"/>
        <color theme="1"/>
        <rFont val="Calibri"/>
        <family val="2"/>
        <scheme val="minor"/>
      </rPr>
      <t>RATED FUNDAMENTAL CURRENT</t>
    </r>
  </si>
  <si>
    <r>
      <t xml:space="preserve">H </t>
    </r>
    <r>
      <rPr>
        <sz val="12"/>
        <color theme="1"/>
        <rFont val="Calibri"/>
        <family val="2"/>
        <scheme val="minor"/>
      </rPr>
      <t>(Shunt Reactor milliHenry Rating)</t>
    </r>
  </si>
  <si>
    <r>
      <t>X</t>
    </r>
    <r>
      <rPr>
        <b/>
        <vertAlign val="subscript"/>
        <sz val="12"/>
        <color theme="1"/>
        <rFont val="Calibri"/>
        <family val="2"/>
        <scheme val="minor"/>
      </rPr>
      <t xml:space="preserve">eff </t>
    </r>
    <r>
      <rPr>
        <sz val="12"/>
        <color theme="1"/>
        <rFont val="Calibri"/>
        <family val="2"/>
        <scheme val="minor"/>
      </rPr>
      <t>(Shunt Reactor Inductive Reactance)</t>
    </r>
  </si>
  <si>
    <r>
      <t xml:space="preserve">f </t>
    </r>
    <r>
      <rPr>
        <sz val="12"/>
        <color theme="1"/>
        <rFont val="Calibri"/>
        <family val="2"/>
        <scheme val="minor"/>
      </rPr>
      <t>(System Frequency)</t>
    </r>
  </si>
  <si>
    <r>
      <rPr>
        <b/>
        <sz val="11"/>
        <color theme="1"/>
        <rFont val="Calibri"/>
        <family val="2"/>
        <scheme val="minor"/>
      </rPr>
      <t>X</t>
    </r>
    <r>
      <rPr>
        <b/>
        <vertAlign val="subscript"/>
        <sz val="11"/>
        <color theme="1"/>
        <rFont val="Calibri"/>
        <family val="2"/>
        <scheme val="minor"/>
      </rPr>
      <t>L</t>
    </r>
    <r>
      <rPr>
        <vertAlign val="subscript"/>
        <sz val="11"/>
        <color theme="1"/>
        <rFont val="Calibri"/>
        <family val="2"/>
        <scheme val="minor"/>
      </rPr>
      <t xml:space="preserve">  </t>
    </r>
    <r>
      <rPr>
        <sz val="11"/>
        <color theme="1"/>
        <rFont val="Calibri"/>
        <family val="2"/>
        <scheme val="minor"/>
      </rPr>
      <t>(Inductive reactance of reactor at system frequency)</t>
    </r>
  </si>
  <si>
    <t>Typically Near 100</t>
  </si>
  <si>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 xml:space="preserve">F (micro-farads)/Capacitor </t>
    </r>
  </si>
  <si>
    <t>Ohms/Capacitor</t>
  </si>
  <si>
    <t>Main Cap Capacitance (per phase):</t>
  </si>
  <si>
    <t>Aux Cap Capacitance (per phase):</t>
  </si>
  <si>
    <t>FILTER ONE-LINE DIAGRAM</t>
  </si>
  <si>
    <t>I RESISTOR^2</t>
  </si>
  <si>
    <t>RESISTOR RMS AMPS</t>
  </si>
  <si>
    <t>Total filter amps^2</t>
  </si>
  <si>
    <t>Filter Bank RMS Amps</t>
  </si>
  <si>
    <t>REVERSE CALCULATION USING C AND L</t>
  </si>
  <si>
    <r>
      <t>CAPACITANCE (</t>
    </r>
    <r>
      <rPr>
        <sz val="11"/>
        <color theme="1"/>
        <rFont val="Calibri"/>
        <family val="2"/>
      </rPr>
      <t>µf)</t>
    </r>
  </si>
  <si>
    <t>INDUCTANCE (mH)</t>
  </si>
  <si>
    <r>
      <t>X</t>
    </r>
    <r>
      <rPr>
        <b/>
        <vertAlign val="subscript"/>
        <sz val="12"/>
        <color theme="1"/>
        <rFont val="Calibri"/>
        <family val="2"/>
        <scheme val="minor"/>
      </rPr>
      <t>L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(Ohms)</t>
    </r>
  </si>
  <si>
    <r>
      <t>X</t>
    </r>
    <r>
      <rPr>
        <b/>
        <vertAlign val="subscript"/>
        <sz val="12"/>
        <color theme="1"/>
        <rFont val="Calibri"/>
        <family val="2"/>
        <scheme val="minor"/>
      </rPr>
      <t>c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(Ohms)</t>
    </r>
  </si>
  <si>
    <t>Resistor RMS Amps</t>
  </si>
  <si>
    <t>Total Filter RMS Amps</t>
  </si>
  <si>
    <r>
      <t>X</t>
    </r>
    <r>
      <rPr>
        <b/>
        <vertAlign val="subscript"/>
        <sz val="11"/>
        <color theme="1"/>
        <rFont val="Calibri"/>
        <family val="2"/>
        <scheme val="minor"/>
      </rPr>
      <t>X/R RATIO</t>
    </r>
    <r>
      <rPr>
        <b/>
        <sz val="11"/>
        <color theme="1"/>
        <rFont val="Calibri"/>
        <family val="2"/>
        <scheme val="minor"/>
      </rPr>
      <t xml:space="preserve">  </t>
    </r>
    <r>
      <rPr>
        <sz val="11"/>
        <color theme="1"/>
        <rFont val="Calibri"/>
        <family val="2"/>
        <scheme val="minor"/>
      </rPr>
      <t>(X/R OF IRON-CORE REACTOR AT FUNDAMENTAL FREQUENCY)</t>
    </r>
  </si>
  <si>
    <t>Capacitance (per phase):</t>
  </si>
  <si>
    <r>
      <t>V</t>
    </r>
    <r>
      <rPr>
        <b/>
        <vertAlign val="subscript"/>
        <sz val="11"/>
        <color theme="1"/>
        <rFont val="Calibri"/>
        <family val="2"/>
        <scheme val="minor"/>
      </rPr>
      <t>CAP RATING</t>
    </r>
  </si>
  <si>
    <t>CAPACITOR PARAMETERS</t>
  </si>
  <si>
    <t>Number of Caps Per Phase (N)</t>
  </si>
  <si>
    <t>Capacitor Can KVAR Rating (kvar)</t>
  </si>
  <si>
    <t>MAIN Capacitor Can KVAR Rating (kvar)</t>
  </si>
  <si>
    <r>
      <t>I</t>
    </r>
    <r>
      <rPr>
        <b/>
        <vertAlign val="subscript"/>
        <sz val="11"/>
        <color theme="1"/>
        <rFont val="Calibri"/>
        <family val="2"/>
        <scheme val="minor"/>
      </rPr>
      <t>CAP</t>
    </r>
    <r>
      <rPr>
        <sz val="11"/>
        <color theme="1"/>
        <rFont val="Calibri"/>
        <family val="2"/>
        <scheme val="minor"/>
      </rPr>
      <t xml:space="preserve"> (Fundamental Amps Each Capacitor)</t>
    </r>
  </si>
  <si>
    <r>
      <t>I</t>
    </r>
    <r>
      <rPr>
        <b/>
        <vertAlign val="subscript"/>
        <sz val="11"/>
        <color theme="1"/>
        <rFont val="Calibri"/>
        <family val="2"/>
        <scheme val="minor"/>
      </rPr>
      <t>CAP MAIN</t>
    </r>
    <r>
      <rPr>
        <sz val="11"/>
        <color theme="1"/>
        <rFont val="Calibri"/>
        <family val="2"/>
        <scheme val="minor"/>
      </rPr>
      <t xml:space="preserve"> (Fundamental Amps Each Main Capacitor)</t>
    </r>
  </si>
  <si>
    <r>
      <t>I</t>
    </r>
    <r>
      <rPr>
        <vertAlign val="subscript"/>
        <sz val="11"/>
        <color theme="1"/>
        <rFont val="Calibri"/>
        <family val="2"/>
        <scheme val="minor"/>
      </rPr>
      <t>FUSE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(Minimum Recommended Fuse Rating on each Capacitors)</t>
    </r>
  </si>
  <si>
    <r>
      <t>I</t>
    </r>
    <r>
      <rPr>
        <vertAlign val="subscript"/>
        <sz val="12"/>
        <color theme="1"/>
        <rFont val="Calibri"/>
        <family val="2"/>
        <scheme val="minor"/>
      </rPr>
      <t>RATED FUNDAMENTAL</t>
    </r>
  </si>
  <si>
    <r>
      <t>Q</t>
    </r>
    <r>
      <rPr>
        <b/>
        <vertAlign val="subscript"/>
        <sz val="11"/>
        <color theme="1"/>
        <rFont val="Calibri"/>
        <family val="2"/>
        <scheme val="minor"/>
      </rPr>
      <t>CAPACITROR (1-phase)</t>
    </r>
  </si>
  <si>
    <t>CAPACITOR DESIGN RATINGS VS IEEE/ANSI MAXIMUMS</t>
  </si>
  <si>
    <t>CAPACITANCE - Aux (µf)/Phase</t>
  </si>
  <si>
    <r>
      <t>CAPACITANCE - Main (</t>
    </r>
    <r>
      <rPr>
        <sz val="11"/>
        <color theme="1"/>
        <rFont val="Calibri"/>
        <family val="2"/>
      </rPr>
      <t>µf)/Phase</t>
    </r>
  </si>
  <si>
    <r>
      <t>X</t>
    </r>
    <r>
      <rPr>
        <b/>
        <vertAlign val="subscript"/>
        <sz val="12"/>
        <color theme="1"/>
        <rFont val="Calibri"/>
        <family val="2"/>
        <scheme val="minor"/>
      </rPr>
      <t>c-MAIN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(Ohms)</t>
    </r>
  </si>
  <si>
    <t>(µf)</t>
  </si>
  <si>
    <r>
      <t xml:space="preserve">h </t>
    </r>
    <r>
      <rPr>
        <sz val="12"/>
        <color theme="1"/>
        <rFont val="Calibri"/>
        <family val="2"/>
        <scheme val="minor"/>
      </rPr>
      <t>(Tuning Point)</t>
    </r>
  </si>
  <si>
    <r>
      <t>h</t>
    </r>
    <r>
      <rPr>
        <sz val="12"/>
        <color theme="1"/>
        <rFont val="Calibri"/>
        <family val="2"/>
        <scheme val="minor"/>
      </rPr>
      <t xml:space="preserve"> (Tuning Point)</t>
    </r>
  </si>
  <si>
    <t>Job Name:</t>
  </si>
  <si>
    <t>Stage/Branch Name</t>
  </si>
  <si>
    <t>Page 2</t>
  </si>
  <si>
    <t>HARM #</t>
  </si>
  <si>
    <t>Xc main</t>
  </si>
  <si>
    <t>Xc aux</t>
  </si>
  <si>
    <t>XL (inductance)</t>
  </si>
  <si>
    <t>Resistance</t>
  </si>
  <si>
    <t>PLOT (ohms)</t>
  </si>
  <si>
    <t>XCAUX + XL</t>
  </si>
  <si>
    <t>(aux branch)</t>
  </si>
  <si>
    <t>(res branch)</t>
  </si>
  <si>
    <t>product of res branch and  aux branch</t>
  </si>
  <si>
    <t>sum of res branch and aux branch</t>
  </si>
  <si>
    <t>power over sum rule of aux and res branch</t>
  </si>
  <si>
    <t>add main cap in</t>
  </si>
  <si>
    <t>Page 3</t>
  </si>
  <si>
    <r>
      <t>I</t>
    </r>
    <r>
      <rPr>
        <vertAlign val="superscript"/>
        <sz val="11"/>
        <color rgb="FFFF0000"/>
        <rFont val="Calibri"/>
        <family val="2"/>
        <scheme val="minor"/>
      </rPr>
      <t>2</t>
    </r>
    <r>
      <rPr>
        <sz val="11"/>
        <color rgb="FFFF0000"/>
        <rFont val="Calibri"/>
        <family val="2"/>
        <scheme val="minor"/>
      </rPr>
      <t>R REACTOR LOSSES</t>
    </r>
  </si>
  <si>
    <t>Aux Capacitor Fuse Losses</t>
  </si>
  <si>
    <t>Main Capacitor Fuse Losses</t>
  </si>
  <si>
    <t xml:space="preserve">Aux Capacitor Losses </t>
  </si>
  <si>
    <t>Main Capacitor Losses</t>
  </si>
  <si>
    <t>High Pass Resistor Losses, (harmonic)</t>
  </si>
  <si>
    <t>Filter Losses</t>
  </si>
  <si>
    <t>Iron-Core Reactor Losses, (harmonic)</t>
  </si>
  <si>
    <t>Total Harmonic Losses</t>
  </si>
  <si>
    <t>Total Harmonic Filter Losses</t>
  </si>
  <si>
    <r>
      <t>I</t>
    </r>
    <r>
      <rPr>
        <b/>
        <vertAlign val="subscript"/>
        <sz val="11"/>
        <color theme="1"/>
        <rFont val="Calibri"/>
        <family val="2"/>
        <scheme val="minor"/>
      </rPr>
      <t>CAP AUX</t>
    </r>
    <r>
      <rPr>
        <sz val="11"/>
        <color theme="1"/>
        <rFont val="Calibri"/>
        <family val="2"/>
        <scheme val="minor"/>
      </rPr>
      <t xml:space="preserve"> (Fundamental Amps Each Aux Capacitor)</t>
    </r>
  </si>
  <si>
    <r>
      <t>N</t>
    </r>
    <r>
      <rPr>
        <b/>
        <vertAlign val="subscript"/>
        <sz val="11"/>
        <color theme="1"/>
        <rFont val="Calibri"/>
        <family val="2"/>
        <scheme val="minor"/>
      </rPr>
      <t>MAIN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Number of MAIN Caps Per Phase</t>
    </r>
  </si>
  <si>
    <r>
      <t>N</t>
    </r>
    <r>
      <rPr>
        <b/>
        <vertAlign val="subscript"/>
        <sz val="11"/>
        <color theme="1"/>
        <rFont val="Calibri"/>
        <family val="2"/>
        <scheme val="minor"/>
      </rPr>
      <t>AUX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Number of Aux Caps Per Phase</t>
    </r>
  </si>
  <si>
    <r>
      <t>I</t>
    </r>
    <r>
      <rPr>
        <vertAlign val="subscript"/>
        <sz val="11"/>
        <color theme="1"/>
        <rFont val="Calibri"/>
        <family val="2"/>
        <scheme val="minor"/>
      </rPr>
      <t>MAN FUSE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(Minimum Recommended Fuse Rating on Capacitors)</t>
    </r>
  </si>
  <si>
    <r>
      <t>I</t>
    </r>
    <r>
      <rPr>
        <vertAlign val="subscript"/>
        <sz val="11"/>
        <color theme="1"/>
        <rFont val="Calibri"/>
        <family val="2"/>
        <scheme val="minor"/>
      </rPr>
      <t>RATED FUNDAMENTAL (outside of delta)</t>
    </r>
  </si>
  <si>
    <r>
      <t>I</t>
    </r>
    <r>
      <rPr>
        <vertAlign val="subscript"/>
        <sz val="11"/>
        <color theme="1"/>
        <rFont val="Calibri"/>
        <family val="2"/>
        <scheme val="minor"/>
      </rPr>
      <t>FILTER RMS CURRENT (outside of delta)</t>
    </r>
  </si>
  <si>
    <r>
      <t>I</t>
    </r>
    <r>
      <rPr>
        <vertAlign val="subscript"/>
        <sz val="11"/>
        <color theme="1"/>
        <rFont val="Calibri"/>
        <family val="2"/>
        <scheme val="minor"/>
      </rPr>
      <t>RATED FUNDAMENTAL (INSIDE DELTA)</t>
    </r>
  </si>
  <si>
    <r>
      <t>I</t>
    </r>
    <r>
      <rPr>
        <vertAlign val="subscript"/>
        <sz val="11"/>
        <color theme="1"/>
        <rFont val="Calibri"/>
        <family val="2"/>
        <scheme val="minor"/>
      </rPr>
      <t>FILTER RMS CURRENT (INSIDE DELTA)</t>
    </r>
  </si>
  <si>
    <r>
      <t>X</t>
    </r>
    <r>
      <rPr>
        <b/>
        <vertAlign val="subscript"/>
        <sz val="12"/>
        <color theme="1"/>
        <rFont val="Calibri"/>
        <family val="2"/>
        <scheme val="minor"/>
      </rPr>
      <t>c (Y-EQUIVALENT)</t>
    </r>
  </si>
  <si>
    <r>
      <t>X</t>
    </r>
    <r>
      <rPr>
        <b/>
        <vertAlign val="subscript"/>
        <sz val="11"/>
        <color theme="1"/>
        <rFont val="Calibri"/>
        <family val="2"/>
        <scheme val="minor"/>
      </rPr>
      <t>c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vertAlign val="subscript"/>
        <sz val="11"/>
        <color theme="1"/>
        <rFont val="Calibri"/>
        <family val="2"/>
        <scheme val="minor"/>
      </rPr>
      <t>(DELTA CONNECTION)</t>
    </r>
  </si>
  <si>
    <r>
      <rPr>
        <b/>
        <sz val="11"/>
        <color theme="1"/>
        <rFont val="Calibri"/>
        <family val="2"/>
        <scheme val="minor"/>
      </rPr>
      <t>X</t>
    </r>
    <r>
      <rPr>
        <b/>
        <vertAlign val="subscript"/>
        <sz val="11"/>
        <color theme="1"/>
        <rFont val="Calibri"/>
        <family val="2"/>
        <scheme val="minor"/>
      </rPr>
      <t>L</t>
    </r>
    <r>
      <rPr>
        <vertAlign val="subscript"/>
        <sz val="11"/>
        <color theme="1"/>
        <rFont val="Calibri"/>
        <family val="2"/>
        <scheme val="minor"/>
      </rPr>
      <t xml:space="preserve">  </t>
    </r>
    <r>
      <rPr>
        <sz val="11"/>
        <color theme="1"/>
        <rFont val="Calibri"/>
        <family val="2"/>
        <scheme val="minor"/>
      </rPr>
      <t>(Inductive reactance of reactor at system frequency, Y-Equivalent)</t>
    </r>
  </si>
  <si>
    <r>
      <t xml:space="preserve">H </t>
    </r>
    <r>
      <rPr>
        <sz val="11"/>
        <color theme="1"/>
        <rFont val="Calibri"/>
        <family val="2"/>
        <scheme val="minor"/>
      </rPr>
      <t>(Inductance of Reactor, Y-Equivalent)</t>
    </r>
  </si>
  <si>
    <r>
      <t xml:space="preserve">H </t>
    </r>
    <r>
      <rPr>
        <sz val="11"/>
        <color theme="1"/>
        <rFont val="Calibri"/>
        <family val="2"/>
        <scheme val="minor"/>
      </rPr>
      <t>(Inductance of Reactor, Delta Connection)</t>
    </r>
  </si>
  <si>
    <r>
      <rPr>
        <b/>
        <sz val="11"/>
        <color theme="1"/>
        <rFont val="Calibri"/>
        <family val="2"/>
        <scheme val="minor"/>
      </rPr>
      <t>X</t>
    </r>
    <r>
      <rPr>
        <b/>
        <vertAlign val="subscript"/>
        <sz val="11"/>
        <color theme="1"/>
        <rFont val="Calibri"/>
        <family val="2"/>
        <scheme val="minor"/>
      </rPr>
      <t>L</t>
    </r>
    <r>
      <rPr>
        <vertAlign val="subscript"/>
        <sz val="11"/>
        <color theme="1"/>
        <rFont val="Calibri"/>
        <family val="2"/>
        <scheme val="minor"/>
      </rPr>
      <t xml:space="preserve">  </t>
    </r>
    <r>
      <rPr>
        <sz val="11"/>
        <color theme="1"/>
        <rFont val="Calibri"/>
        <family val="2"/>
        <scheme val="minor"/>
      </rPr>
      <t>(Inductive reactance of reactor at system frequency, Delta Connection)</t>
    </r>
  </si>
  <si>
    <r>
      <t>V</t>
    </r>
    <r>
      <rPr>
        <b/>
        <vertAlign val="subscript"/>
        <sz val="11"/>
        <color theme="1"/>
        <rFont val="Calibri"/>
        <family val="2"/>
        <scheme val="minor"/>
      </rPr>
      <t>CAP RATING (DELTA-CONNECTION)</t>
    </r>
  </si>
  <si>
    <r>
      <t>Q</t>
    </r>
    <r>
      <rPr>
        <b/>
        <vertAlign val="subscript"/>
        <sz val="11"/>
        <color theme="1"/>
        <rFont val="Calibri"/>
        <family val="2"/>
        <scheme val="minor"/>
      </rPr>
      <t>RATED PER PHASE (DELTA-CONNECTION)</t>
    </r>
  </si>
  <si>
    <r>
      <t>Q</t>
    </r>
    <r>
      <rPr>
        <b/>
        <vertAlign val="subscript"/>
        <sz val="11"/>
        <color theme="1"/>
        <rFont val="Calibri"/>
        <family val="2"/>
        <scheme val="minor"/>
      </rPr>
      <t>CAPACITOR (1-phase)</t>
    </r>
  </si>
  <si>
    <r>
      <t>I</t>
    </r>
    <r>
      <rPr>
        <b/>
        <vertAlign val="subscript"/>
        <sz val="11"/>
        <color theme="1"/>
        <rFont val="Calibri"/>
        <family val="2"/>
        <scheme val="minor"/>
      </rPr>
      <t xml:space="preserve">FILTER CURRENT  </t>
    </r>
    <r>
      <rPr>
        <b/>
        <sz val="11"/>
        <color theme="1"/>
        <rFont val="Calibri"/>
        <family val="2"/>
        <scheme val="minor"/>
      </rPr>
      <t>(amps - Outside the Delta)</t>
    </r>
  </si>
  <si>
    <r>
      <t>I</t>
    </r>
    <r>
      <rPr>
        <b/>
        <vertAlign val="subscript"/>
        <sz val="11"/>
        <color theme="1"/>
        <rFont val="Calibri"/>
        <family val="2"/>
        <scheme val="minor"/>
      </rPr>
      <t>REACTOR CURRENT (AMPS INSIDE THE DELTA)</t>
    </r>
  </si>
  <si>
    <t>Amps</t>
  </si>
  <si>
    <r>
      <t>Q</t>
    </r>
    <r>
      <rPr>
        <b/>
        <vertAlign val="subscript"/>
        <sz val="12"/>
        <color theme="1"/>
        <rFont val="Calibri"/>
        <family val="2"/>
        <scheme val="minor"/>
      </rPr>
      <t>eff (Delta-Connection)</t>
    </r>
  </si>
  <si>
    <t>I FILTER AMPS</t>
  </si>
  <si>
    <t>CAPACITANCE CALCULATOR</t>
  </si>
  <si>
    <t>CAPACITOR KVAR</t>
  </si>
  <si>
    <t>CAPACITOR FREQUENCY</t>
  </si>
  <si>
    <t>CAPACITOR VOLTAGE (kV)</t>
  </si>
  <si>
    <t>Hertz</t>
  </si>
  <si>
    <t>RATED CURRENT</t>
  </si>
  <si>
    <t>SPECIFIED HARMONICS</t>
  </si>
  <si>
    <t>Harm #</t>
  </si>
  <si>
    <t>RMS:</t>
  </si>
  <si>
    <t>reactor RMS amps (for supplier with margin)</t>
  </si>
  <si>
    <t>System Voltage:</t>
  </si>
  <si>
    <t>Number of Phases:</t>
  </si>
  <si>
    <t>Insulation Type:</t>
  </si>
  <si>
    <t>Winding Type:</t>
  </si>
  <si>
    <t>Tack Winding to Core:</t>
  </si>
  <si>
    <t>BIL Rating (kV):</t>
  </si>
  <si>
    <t>Nomex</t>
  </si>
  <si>
    <t>Yes</t>
  </si>
  <si>
    <t>Fundamental Frequency:</t>
  </si>
  <si>
    <t>Enclosure:</t>
  </si>
  <si>
    <t>None</t>
  </si>
  <si>
    <t>Taps:</t>
  </si>
  <si>
    <t>Current Ratings</t>
  </si>
  <si>
    <t>Design &amp; Construction Details</t>
  </si>
  <si>
    <t>Reactor Fundamental Design Margin:</t>
  </si>
  <si>
    <t>Reactor Harmonic Design Margin:</t>
  </si>
  <si>
    <t>Ambient:</t>
  </si>
  <si>
    <t>60C</t>
  </si>
  <si>
    <t>Temperature Rise:</t>
  </si>
  <si>
    <t>115C Rise over Ambient</t>
  </si>
  <si>
    <t>Quantity:</t>
  </si>
  <si>
    <t>None/Open Construction</t>
  </si>
  <si>
    <t>CU/AL - Based On Price</t>
  </si>
  <si>
    <t>Tuning Point Based on Reactor %</t>
  </si>
  <si>
    <t>Reactor %</t>
  </si>
  <si>
    <t>(%)</t>
  </si>
  <si>
    <t>Tuning Point</t>
  </si>
  <si>
    <t>Voltage Across Reactor at full current rating:</t>
  </si>
  <si>
    <t>volts</t>
  </si>
  <si>
    <t>Quantity Required:</t>
  </si>
  <si>
    <t>CAPACITANCE CALCULATOR - Three-Phase Calculator</t>
  </si>
  <si>
    <t>CAPACITANCE CALCULATOR - Single-Phase Calculator</t>
  </si>
  <si>
    <r>
      <t>X</t>
    </r>
    <r>
      <rPr>
        <b/>
        <vertAlign val="subscript"/>
        <sz val="12"/>
        <color theme="1"/>
        <rFont val="Calibri"/>
        <family val="2"/>
        <scheme val="minor"/>
      </rPr>
      <t>c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(Ohms)/Phase (Y Imp)</t>
    </r>
  </si>
  <si>
    <t>Terminal-to-Terminal Reactance (ohms)</t>
  </si>
  <si>
    <t>Terminal-to-Terminal Capacitance (uF)</t>
  </si>
  <si>
    <t>CAPACITOR VOLTAGE (kV - Line-to-Line)</t>
  </si>
  <si>
    <t>CAPACITOR FREQUENCY (HZ)</t>
  </si>
  <si>
    <t>CAPACITOR KVAR (3-Phase)</t>
  </si>
  <si>
    <r>
      <t>CAPACITANCE (</t>
    </r>
    <r>
      <rPr>
        <sz val="11"/>
        <color theme="1"/>
        <rFont val="Calibri"/>
        <family val="2"/>
      </rPr>
      <t>µf - Line-to-Neutral)</t>
    </r>
  </si>
  <si>
    <t>Capacitor Duty Rating:</t>
  </si>
  <si>
    <t>SD - Standard Duty Capacitors, with -40C to +55C Temperature Rating</t>
  </si>
  <si>
    <t>HD- Heavy Duty Capacitors, with -40C to +55C Temperature Rating</t>
  </si>
  <si>
    <t>EXD - Extreme Duty Capacitors, with -50C to +55C Temperature Rating</t>
  </si>
  <si>
    <t>% RATED VOLTS (RMS Voltage)</t>
  </si>
  <si>
    <t>% CREST VOLTAGE (Peak)</t>
  </si>
  <si>
    <t>Enter Job Name</t>
  </si>
  <si>
    <t>Branch/Stage #</t>
  </si>
  <si>
    <t>Capacitor   Rating</t>
  </si>
  <si>
    <t>Capacitor Design Values</t>
  </si>
  <si>
    <t xml:space="preserve">Capacitor                                       Rating      </t>
  </si>
  <si>
    <t xml:space="preserve">  Capacitor Design Values</t>
  </si>
  <si>
    <t>At 110% System Voltage</t>
  </si>
  <si>
    <t>At Nominal Voltage</t>
  </si>
  <si>
    <t>At 110% System                   Voltage</t>
  </si>
  <si>
    <t xml:space="preserve">Capacitor                                              Rating      </t>
  </si>
  <si>
    <t>At 110% System                       Voltage</t>
  </si>
  <si>
    <t>At 110% System                               Voltage</t>
  </si>
  <si>
    <t>Filter Voltage Distortion</t>
  </si>
  <si>
    <t>System Voltage Distortion (Vthd %)</t>
  </si>
  <si>
    <t>Tuning Point for loss of one capacitror:</t>
  </si>
  <si>
    <t>Rated Current at Nominal Voltage:</t>
  </si>
  <si>
    <t>Max Current at 10% Over-Voltage:</t>
  </si>
  <si>
    <t>Rated Inductance:</t>
  </si>
  <si>
    <t>Rated Impedance:</t>
  </si>
  <si>
    <t>Rated Frequency:</t>
  </si>
  <si>
    <t>Maximum System Voltage:</t>
  </si>
  <si>
    <t>BIL Between Terminals:</t>
  </si>
  <si>
    <t>Standard:</t>
  </si>
  <si>
    <t>IEEE Std. C57.21</t>
  </si>
  <si>
    <t>Altitude:</t>
  </si>
  <si>
    <t>f.a.s.l.</t>
  </si>
  <si>
    <t>BIL Between Winding and Ground</t>
  </si>
  <si>
    <t>Three-Phase Shunt Reactor Specification</t>
  </si>
  <si>
    <t>Inductance (mH):</t>
  </si>
  <si>
    <t>System Voltage (kV):</t>
  </si>
  <si>
    <r>
      <t>I</t>
    </r>
    <r>
      <rPr>
        <b/>
        <vertAlign val="subscript"/>
        <sz val="14"/>
        <color theme="1"/>
        <rFont val="Calibri"/>
        <family val="2"/>
        <scheme val="minor"/>
      </rPr>
      <t>fundamental resistor current (actual)</t>
    </r>
  </si>
  <si>
    <r>
      <t>(Rw)</t>
    </r>
    <r>
      <rPr>
        <sz val="11"/>
        <color theme="1"/>
        <rFont val="Calibri"/>
        <family val="2"/>
        <scheme val="minor"/>
      </rPr>
      <t xml:space="preserve"> (Resistor KW/Phase - Specified)</t>
    </r>
  </si>
  <si>
    <r>
      <t>I</t>
    </r>
    <r>
      <rPr>
        <vertAlign val="subscript"/>
        <sz val="14"/>
        <color theme="1"/>
        <rFont val="Calibri"/>
        <family val="2"/>
        <scheme val="minor"/>
      </rPr>
      <t>fundamental resistor current (actual)</t>
    </r>
  </si>
  <si>
    <t>(at least 1.5X is recommended, if not 2X actual)</t>
  </si>
  <si>
    <t>(C-HP Filters nearly eliminate fundamental losses in damping resistor)</t>
  </si>
  <si>
    <t>R &amp; X EQUIVALENT IMPEDANCE (ohms)</t>
  </si>
  <si>
    <t>I REACTOR (Calculate voltage then divide by xLn)</t>
  </si>
  <si>
    <t>I RESISTOR (calculate voltage then divide by R)</t>
  </si>
  <si>
    <t>I Resistor ^2 (watts)</t>
  </si>
  <si>
    <r>
      <t>I</t>
    </r>
    <r>
      <rPr>
        <vertAlign val="superscript"/>
        <sz val="11"/>
        <color rgb="FFFF0000"/>
        <rFont val="Calibri"/>
        <family val="2"/>
        <scheme val="minor"/>
      </rPr>
      <t>2</t>
    </r>
    <r>
      <rPr>
        <sz val="11"/>
        <color rgb="FFFF0000"/>
        <rFont val="Calibri"/>
        <family val="2"/>
        <scheme val="minor"/>
      </rPr>
      <t>R REACTOR LOSSES (watts)</t>
    </r>
  </si>
  <si>
    <t>Resistor losses (watts)</t>
  </si>
  <si>
    <r>
      <t>I</t>
    </r>
    <r>
      <rPr>
        <vertAlign val="subscript"/>
        <sz val="14"/>
        <color theme="1"/>
        <rFont val="Calibri"/>
        <family val="2"/>
        <scheme val="minor"/>
      </rPr>
      <t>fundamental resistor current (specified)</t>
    </r>
  </si>
  <si>
    <r>
      <t>R, X</t>
    </r>
    <r>
      <rPr>
        <vertAlign val="subscript"/>
        <sz val="11"/>
        <color rgb="FFFF0000"/>
        <rFont val="Calibri"/>
        <family val="2"/>
        <scheme val="minor"/>
      </rPr>
      <t>L</t>
    </r>
    <r>
      <rPr>
        <sz val="11"/>
        <color rgb="FFFF0000"/>
        <rFont val="Calibri"/>
        <family val="2"/>
        <scheme val="minor"/>
      </rPr>
      <t>, X</t>
    </r>
    <r>
      <rPr>
        <vertAlign val="subscript"/>
        <sz val="11"/>
        <color rgb="FFFF0000"/>
        <rFont val="Calibri"/>
        <family val="2"/>
        <scheme val="minor"/>
      </rPr>
      <t>CA</t>
    </r>
    <r>
      <rPr>
        <sz val="11"/>
        <color rgb="FFFF0000"/>
        <rFont val="Calibri"/>
        <family val="2"/>
        <scheme val="minor"/>
      </rPr>
      <t xml:space="preserve"> EQUIVALENT IMPEDANCE (ohms)</t>
    </r>
  </si>
  <si>
    <t>I REACTOR &amp; AUX CAP (AMPS)</t>
  </si>
  <si>
    <t>Voltage Across Resistor (volts)</t>
  </si>
  <si>
    <t>I RESISTOR (amps)</t>
  </si>
  <si>
    <t>Resistor losses (kW)</t>
  </si>
  <si>
    <t>(I REACTOR &amp; AUX CAP)^2</t>
  </si>
  <si>
    <t>Rev: 10-7-2019</t>
  </si>
  <si>
    <t>EasyPower Input - Filter Input Data</t>
  </si>
  <si>
    <t>Resistor</t>
  </si>
  <si>
    <t>Inductor</t>
  </si>
  <si>
    <t>+ j</t>
  </si>
  <si>
    <t xml:space="preserve">  Ohms</t>
  </si>
  <si>
    <t>Capacitor Bank 1:</t>
  </si>
  <si>
    <t>MVAR @</t>
  </si>
  <si>
    <t>kV (LL)</t>
  </si>
  <si>
    <t>ETAP 19.5.0 - INPUT EDITOR</t>
  </si>
  <si>
    <t>KVAR</t>
  </si>
  <si>
    <t>Uf</t>
  </si>
  <si>
    <t>Rated kV</t>
  </si>
  <si>
    <t>Max. KV</t>
  </si>
  <si>
    <t>Capacitor C1</t>
  </si>
  <si>
    <t>Inductor L1</t>
  </si>
  <si>
    <t>XL1</t>
  </si>
  <si>
    <t>Q Factor</t>
  </si>
  <si>
    <t>Max I</t>
  </si>
  <si>
    <t>ETAP Input Data</t>
  </si>
  <si>
    <t>Reactor Current Squared</t>
  </si>
  <si>
    <t>Capacitor C2</t>
  </si>
  <si>
    <t>R</t>
  </si>
  <si>
    <t>R1</t>
  </si>
  <si>
    <t>N/A</t>
  </si>
  <si>
    <t>Click here to learn how to use this spreadsheet tool. You will be redirected to our YouTube Channel:
https://youtu.be/sV6w9_-4ZJw</t>
  </si>
  <si>
    <t>Contact NEPSI for assistance or to obtain a quote on your metal-enclosed harmonic filter system. 
Email us at: sales@nepsi.com</t>
  </si>
  <si>
    <t>Rev: 7-27-2020</t>
  </si>
  <si>
    <t>PowerFactory Input - Notch Filter</t>
  </si>
  <si>
    <t>PowerFactory Input - HP Second Order</t>
  </si>
  <si>
    <t>Power Factory - C-HP Filter Input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</si>
</sst>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0.000"/>
    <numFmt numFmtId="167" formatCode="0.0000"/>
    <numFmt numFmtId="168" formatCode="0.0000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vertAlign val="subscript"/>
      <sz val="12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vertAlign val="subscript"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0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</font>
    <font>
      <sz val="16"/>
      <color theme="1"/>
      <name val="Calibri"/>
      <family val="2"/>
      <scheme val="minor"/>
    </font>
    <font>
      <vertAlign val="subscript"/>
      <sz val="12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rgb="FF3F3F76"/>
      <name val="Calibri"/>
      <family val="2"/>
      <scheme val="minor"/>
    </font>
    <font>
      <vertAlign val="superscript"/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6100"/>
      <name val="Calibri"/>
      <family val="2"/>
      <scheme val="minor"/>
    </font>
    <font>
      <b/>
      <vertAlign val="subscript"/>
      <sz val="14"/>
      <color theme="1"/>
      <name val="Calibri"/>
      <family val="2"/>
      <scheme val="minor"/>
    </font>
    <font>
      <vertAlign val="subscript"/>
      <sz val="14"/>
      <color theme="1"/>
      <name val="Calibri"/>
      <family val="2"/>
      <scheme val="minor"/>
    </font>
    <font>
      <vertAlign val="subscript"/>
      <sz val="11"/>
      <color rgb="FFFF0000"/>
      <name val="Calibri"/>
      <family val="2"/>
      <scheme val="minor"/>
    </font>
    <font>
      <sz val="8"/>
      <color theme="3" tint="0.79998168889431442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C6EFCE"/>
      </patternFill>
    </fill>
    <fill>
      <patternFill patternType="solid">
        <fgColor theme="9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/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B2B2B2"/>
      </left>
      <right/>
      <top style="thin">
        <color rgb="FFB2B2B2"/>
      </top>
      <bottom style="thin">
        <color indexed="64"/>
      </bottom>
      <diagonal/>
    </border>
    <border>
      <left/>
      <right/>
      <top style="thin">
        <color rgb="FFB2B2B2"/>
      </top>
      <bottom style="thin">
        <color indexed="64"/>
      </bottom>
      <diagonal/>
    </border>
    <border>
      <left/>
      <right style="thin">
        <color rgb="FFB2B2B2"/>
      </right>
      <top style="thin">
        <color rgb="FFB2B2B2"/>
      </top>
      <bottom style="thin">
        <color indexed="64"/>
      </bottom>
      <diagonal/>
    </border>
    <border>
      <left style="thin">
        <color rgb="FFB2B2B2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B2B2B2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/>
      <top style="thin">
        <color rgb="FFB2B2B2"/>
      </top>
      <bottom style="thin">
        <color rgb="FFB2B2B2"/>
      </bottom>
      <diagonal/>
    </border>
    <border>
      <left/>
      <right/>
      <top style="thin">
        <color rgb="FFB2B2B2"/>
      </top>
      <bottom style="thin">
        <color rgb="FFB2B2B2"/>
      </bottom>
      <diagonal/>
    </border>
    <border>
      <left/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indexed="64"/>
      </bottom>
      <diagonal/>
    </border>
    <border>
      <left style="thin">
        <color rgb="FF7F7F7F"/>
      </left>
      <right/>
      <top style="thin">
        <color indexed="64"/>
      </top>
      <bottom style="thin">
        <color rgb="FF7F7F7F"/>
      </bottom>
      <diagonal/>
    </border>
    <border>
      <left/>
      <right style="thin">
        <color rgb="FF7F7F7F"/>
      </right>
      <top style="thin">
        <color indexed="64"/>
      </top>
      <bottom style="thin">
        <color rgb="FF7F7F7F"/>
      </bottom>
      <diagonal/>
    </border>
  </borders>
  <cellStyleXfs count="10">
    <xf numFmtId="0" fontId="0" fillId="0" borderId="0"/>
    <xf numFmtId="0" fontId="1" fillId="2" borderId="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24" fillId="3" borderId="11" applyNumberFormat="0" applyAlignment="0" applyProtection="0"/>
    <xf numFmtId="0" fontId="2" fillId="0" borderId="14" applyNumberFormat="0" applyFill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27" fillId="6" borderId="0" applyNumberFormat="0" applyBorder="0" applyAlignment="0" applyProtection="0"/>
    <xf numFmtId="0" fontId="33" fillId="0" borderId="0" applyNumberFormat="0" applyFill="0" applyBorder="0" applyAlignment="0" applyProtection="0"/>
  </cellStyleXfs>
  <cellXfs count="332">
    <xf numFmtId="0" fontId="0" fillId="0" borderId="0" xfId="0"/>
    <xf numFmtId="0" fontId="0" fillId="0" borderId="0" xfId="0" applyFont="1"/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/>
    <xf numFmtId="1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" fontId="3" fillId="0" borderId="0" xfId="0" applyNumberFormat="1" applyFont="1"/>
    <xf numFmtId="164" fontId="0" fillId="0" borderId="0" xfId="0" applyNumberFormat="1" applyFont="1" applyAlignment="1">
      <alignment horizontal="center"/>
    </xf>
    <xf numFmtId="0" fontId="5" fillId="0" borderId="0" xfId="0" applyFont="1"/>
    <xf numFmtId="0" fontId="0" fillId="0" borderId="2" xfId="0" applyBorder="1"/>
    <xf numFmtId="0" fontId="0" fillId="0" borderId="0" xfId="0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wrapText="1"/>
    </xf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164" fontId="10" fillId="0" borderId="0" xfId="0" applyNumberFormat="1" applyFont="1" applyAlignment="1">
      <alignment horizontal="center"/>
    </xf>
    <xf numFmtId="1" fontId="10" fillId="0" borderId="0" xfId="0" applyNumberFormat="1" applyFont="1"/>
    <xf numFmtId="164" fontId="0" fillId="0" borderId="0" xfId="0" applyNumberFormat="1"/>
    <xf numFmtId="1" fontId="10" fillId="0" borderId="0" xfId="0" applyNumberFormat="1" applyFont="1" applyAlignment="1">
      <alignment horizontal="center"/>
    </xf>
    <xf numFmtId="166" fontId="0" fillId="0" borderId="0" xfId="0" applyNumberFormat="1" applyAlignment="1">
      <alignment horizontal="center"/>
    </xf>
    <xf numFmtId="0" fontId="2" fillId="0" borderId="0" xfId="0" applyFont="1" applyAlignment="1">
      <alignment horizontal="right"/>
    </xf>
    <xf numFmtId="0" fontId="14" fillId="0" borderId="0" xfId="0" applyFont="1"/>
    <xf numFmtId="164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2" borderId="4" xfId="1" applyFont="1" applyBorder="1" applyAlignment="1" applyProtection="1">
      <alignment horizontal="center"/>
      <protection locked="0"/>
    </xf>
    <xf numFmtId="0" fontId="14" fillId="0" borderId="0" xfId="0" applyFont="1" applyAlignment="1">
      <alignment vertical="center"/>
    </xf>
    <xf numFmtId="0" fontId="11" fillId="0" borderId="0" xfId="0" applyFont="1"/>
    <xf numFmtId="164" fontId="11" fillId="0" borderId="0" xfId="0" applyNumberFormat="1" applyFont="1"/>
    <xf numFmtId="1" fontId="11" fillId="0" borderId="0" xfId="0" applyNumberFormat="1" applyFont="1"/>
    <xf numFmtId="2" fontId="11" fillId="0" borderId="0" xfId="0" applyNumberFormat="1" applyFont="1"/>
    <xf numFmtId="0" fontId="0" fillId="0" borderId="0" xfId="0" applyFill="1"/>
    <xf numFmtId="9" fontId="0" fillId="0" borderId="0" xfId="2" applyFont="1" applyFill="1" applyAlignment="1">
      <alignment horizontal="center"/>
    </xf>
    <xf numFmtId="0" fontId="11" fillId="0" borderId="0" xfId="0" applyFont="1" applyFill="1"/>
    <xf numFmtId="165" fontId="0" fillId="0" borderId="0" xfId="2" applyNumberFormat="1" applyFont="1" applyFill="1"/>
    <xf numFmtId="1" fontId="11" fillId="0" borderId="0" xfId="0" applyNumberFormat="1" applyFont="1" applyFill="1"/>
    <xf numFmtId="0" fontId="2" fillId="0" borderId="0" xfId="0" applyFont="1" applyFill="1" applyAlignment="1">
      <alignment horizontal="right"/>
    </xf>
    <xf numFmtId="165" fontId="0" fillId="0" borderId="0" xfId="2" applyNumberFormat="1" applyFont="1" applyFill="1" applyAlignment="1">
      <alignment horizontal="center"/>
    </xf>
    <xf numFmtId="0" fontId="2" fillId="0" borderId="2" xfId="0" applyFont="1" applyFill="1" applyBorder="1" applyAlignment="1"/>
    <xf numFmtId="0" fontId="4" fillId="0" borderId="2" xfId="0" applyFont="1" applyFill="1" applyBorder="1" applyAlignment="1"/>
    <xf numFmtId="0" fontId="11" fillId="0" borderId="2" xfId="0" applyFont="1" applyBorder="1"/>
    <xf numFmtId="0" fontId="15" fillId="0" borderId="2" xfId="0" applyFont="1" applyBorder="1"/>
    <xf numFmtId="0" fontId="16" fillId="0" borderId="2" xfId="0" applyFont="1" applyBorder="1"/>
    <xf numFmtId="0" fontId="16" fillId="0" borderId="0" xfId="0" applyFont="1"/>
    <xf numFmtId="0" fontId="17" fillId="0" borderId="0" xfId="0" applyFont="1"/>
    <xf numFmtId="0" fontId="2" fillId="0" borderId="0" xfId="0" applyFont="1" applyAlignment="1">
      <alignment vertical="center"/>
    </xf>
    <xf numFmtId="0" fontId="0" fillId="0" borderId="0" xfId="0" applyFont="1" applyAlignment="1">
      <alignment vertical="center" wrapText="1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right"/>
    </xf>
    <xf numFmtId="166" fontId="0" fillId="0" borderId="0" xfId="0" applyNumberFormat="1" applyAlignment="1">
      <alignment horizontal="left"/>
    </xf>
    <xf numFmtId="0" fontId="2" fillId="0" borderId="2" xfId="0" applyFont="1" applyBorder="1" applyAlignment="1">
      <alignment vertical="center"/>
    </xf>
    <xf numFmtId="0" fontId="0" fillId="0" borderId="2" xfId="0" applyBorder="1" applyAlignment="1">
      <alignment vertical="center"/>
    </xf>
    <xf numFmtId="164" fontId="0" fillId="0" borderId="2" xfId="0" applyNumberFormat="1" applyBorder="1" applyAlignment="1">
      <alignment horizontal="center" vertical="center"/>
    </xf>
    <xf numFmtId="0" fontId="2" fillId="0" borderId="2" xfId="0" applyFont="1" applyFill="1" applyBorder="1" applyAlignment="1">
      <alignment horizontal="right"/>
    </xf>
    <xf numFmtId="0" fontId="0" fillId="0" borderId="2" xfId="0" applyFill="1" applyBorder="1"/>
    <xf numFmtId="165" fontId="0" fillId="0" borderId="2" xfId="2" applyNumberFormat="1" applyFont="1" applyFill="1" applyBorder="1" applyAlignment="1">
      <alignment horizontal="center"/>
    </xf>
    <xf numFmtId="9" fontId="0" fillId="0" borderId="2" xfId="2" applyFont="1" applyFill="1" applyBorder="1" applyAlignment="1">
      <alignment horizontal="center"/>
    </xf>
    <xf numFmtId="0" fontId="2" fillId="0" borderId="2" xfId="0" applyFont="1" applyBorder="1" applyAlignment="1">
      <alignment horizontal="right"/>
    </xf>
    <xf numFmtId="165" fontId="0" fillId="0" borderId="2" xfId="2" applyNumberFormat="1" applyFont="1" applyFill="1" applyBorder="1"/>
    <xf numFmtId="0" fontId="21" fillId="0" borderId="2" xfId="0" applyFont="1" applyBorder="1" applyAlignment="1"/>
    <xf numFmtId="0" fontId="0" fillId="0" borderId="0" xfId="0"/>
    <xf numFmtId="0" fontId="0" fillId="0" borderId="0" xfId="0"/>
    <xf numFmtId="0" fontId="2" fillId="0" borderId="0" xfId="0" applyFont="1"/>
    <xf numFmtId="0" fontId="5" fillId="0" borderId="0" xfId="0" applyFont="1"/>
    <xf numFmtId="4" fontId="0" fillId="0" borderId="0" xfId="0" applyNumberFormat="1" applyAlignment="1">
      <alignment horizontal="center"/>
    </xf>
    <xf numFmtId="0" fontId="0" fillId="0" borderId="0" xfId="0"/>
    <xf numFmtId="0" fontId="2" fillId="0" borderId="0" xfId="0" applyFont="1"/>
    <xf numFmtId="0" fontId="2" fillId="0" borderId="0" xfId="0" applyFont="1"/>
    <xf numFmtId="0" fontId="0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" fillId="0" borderId="3" xfId="0" applyFont="1" applyBorder="1"/>
    <xf numFmtId="0" fontId="0" fillId="0" borderId="0" xfId="0" applyAlignment="1">
      <alignment vertical="center" wrapText="1"/>
    </xf>
    <xf numFmtId="0" fontId="0" fillId="0" borderId="0" xfId="0"/>
    <xf numFmtId="166" fontId="0" fillId="0" borderId="0" xfId="0" applyNumberFormat="1" applyAlignment="1">
      <alignment horizontal="left"/>
    </xf>
    <xf numFmtId="0" fontId="0" fillId="0" borderId="0" xfId="0"/>
    <xf numFmtId="0" fontId="2" fillId="0" borderId="0" xfId="0" applyFont="1"/>
    <xf numFmtId="0" fontId="2" fillId="0" borderId="0" xfId="0" applyFont="1"/>
    <xf numFmtId="2" fontId="2" fillId="0" borderId="0" xfId="0" applyNumberFormat="1" applyFont="1" applyAlignment="1">
      <alignment wrapText="1"/>
    </xf>
    <xf numFmtId="0" fontId="2" fillId="0" borderId="0" xfId="0" applyFont="1" applyBorder="1" applyAlignment="1">
      <alignment horizontal="left" vertical="center" wrapText="1"/>
    </xf>
    <xf numFmtId="0" fontId="0" fillId="0" borderId="0" xfId="0"/>
    <xf numFmtId="0" fontId="0" fillId="0" borderId="0" xfId="0" applyAlignment="1">
      <alignment vertical="center"/>
    </xf>
    <xf numFmtId="0" fontId="2" fillId="0" borderId="0" xfId="0" applyFont="1" applyAlignment="1">
      <alignment horizontal="left" vertical="center" wrapText="1"/>
    </xf>
    <xf numFmtId="2" fontId="2" fillId="0" borderId="0" xfId="0" applyNumberFormat="1" applyFont="1" applyAlignment="1">
      <alignment horizontal="left" vertical="center" wrapText="1"/>
    </xf>
    <xf numFmtId="0" fontId="0" fillId="0" borderId="0" xfId="0"/>
    <xf numFmtId="0" fontId="0" fillId="0" borderId="0" xfId="0" applyFont="1"/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/>
    <xf numFmtId="1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" fontId="3" fillId="0" borderId="0" xfId="0" applyNumberFormat="1" applyFont="1"/>
    <xf numFmtId="0" fontId="5" fillId="0" borderId="0" xfId="0" applyFont="1"/>
    <xf numFmtId="0" fontId="0" fillId="0" borderId="2" xfId="0" applyBorder="1"/>
    <xf numFmtId="0" fontId="0" fillId="0" borderId="0" xfId="0" applyBorder="1"/>
    <xf numFmtId="0" fontId="0" fillId="2" borderId="1" xfId="1" applyFont="1" applyAlignment="1" applyProtection="1">
      <alignment horizontal="center"/>
      <protection locked="0"/>
    </xf>
    <xf numFmtId="0" fontId="2" fillId="0" borderId="0" xfId="0" applyFont="1" applyAlignment="1">
      <alignment wrapText="1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1" fontId="0" fillId="0" borderId="0" xfId="0" applyNumberFormat="1"/>
    <xf numFmtId="1" fontId="10" fillId="0" borderId="0" xfId="0" applyNumberFormat="1" applyFont="1"/>
    <xf numFmtId="164" fontId="0" fillId="0" borderId="0" xfId="0" applyNumberFormat="1"/>
    <xf numFmtId="166" fontId="0" fillId="0" borderId="0" xfId="0" applyNumberFormat="1" applyAlignment="1">
      <alignment horizontal="center"/>
    </xf>
    <xf numFmtId="0" fontId="2" fillId="0" borderId="0" xfId="0" applyFont="1" applyAlignment="1">
      <alignment horizontal="right"/>
    </xf>
    <xf numFmtId="2" fontId="0" fillId="2" borderId="1" xfId="1" applyNumberFormat="1" applyFont="1" applyAlignment="1" applyProtection="1">
      <alignment horizontal="center"/>
      <protection locked="0"/>
    </xf>
    <xf numFmtId="164" fontId="0" fillId="0" borderId="0" xfId="0" applyNumberFormat="1" applyAlignment="1">
      <alignment horizontal="center" vertical="center"/>
    </xf>
    <xf numFmtId="0" fontId="14" fillId="0" borderId="0" xfId="0" applyFont="1" applyAlignment="1">
      <alignment vertical="center"/>
    </xf>
    <xf numFmtId="0" fontId="0" fillId="0" borderId="0" xfId="0" applyFill="1"/>
    <xf numFmtId="9" fontId="0" fillId="0" borderId="0" xfId="2" applyFont="1" applyFill="1" applyAlignment="1">
      <alignment horizontal="center"/>
    </xf>
    <xf numFmtId="165" fontId="0" fillId="0" borderId="0" xfId="2" applyNumberFormat="1" applyFont="1" applyFill="1"/>
    <xf numFmtId="0" fontId="2" fillId="0" borderId="0" xfId="0" applyFont="1" applyFill="1" applyAlignment="1">
      <alignment horizontal="right"/>
    </xf>
    <xf numFmtId="165" fontId="0" fillId="0" borderId="0" xfId="2" applyNumberFormat="1" applyFont="1" applyFill="1" applyAlignment="1">
      <alignment horizontal="center"/>
    </xf>
    <xf numFmtId="0" fontId="2" fillId="0" borderId="2" xfId="0" applyFont="1" applyFill="1" applyBorder="1" applyAlignment="1"/>
    <xf numFmtId="0" fontId="2" fillId="0" borderId="0" xfId="0" applyFont="1" applyFill="1" applyBorder="1" applyAlignment="1"/>
    <xf numFmtId="0" fontId="4" fillId="0" borderId="2" xfId="0" applyFont="1" applyFill="1" applyBorder="1" applyAlignment="1"/>
    <xf numFmtId="0" fontId="15" fillId="0" borderId="2" xfId="0" applyFont="1" applyBorder="1"/>
    <xf numFmtId="0" fontId="16" fillId="0" borderId="2" xfId="0" applyFont="1" applyBorder="1"/>
    <xf numFmtId="0" fontId="16" fillId="0" borderId="0" xfId="0" applyFont="1"/>
    <xf numFmtId="0" fontId="0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vertical="center" wrapText="1"/>
    </xf>
    <xf numFmtId="2" fontId="2" fillId="0" borderId="0" xfId="0" applyNumberFormat="1" applyFont="1" applyAlignment="1">
      <alignment horizontal="left" vertical="center" wrapText="1"/>
    </xf>
    <xf numFmtId="166" fontId="0" fillId="0" borderId="0" xfId="0" applyNumberFormat="1"/>
    <xf numFmtId="0" fontId="0" fillId="0" borderId="3" xfId="0" applyBorder="1"/>
    <xf numFmtId="166" fontId="0" fillId="0" borderId="0" xfId="0" applyNumberFormat="1" applyAlignment="1">
      <alignment horizontal="left"/>
    </xf>
    <xf numFmtId="0" fontId="2" fillId="0" borderId="2" xfId="0" applyFont="1" applyFill="1" applyBorder="1" applyAlignment="1">
      <alignment horizontal="right"/>
    </xf>
    <xf numFmtId="0" fontId="0" fillId="0" borderId="2" xfId="0" applyFill="1" applyBorder="1"/>
    <xf numFmtId="165" fontId="0" fillId="0" borderId="2" xfId="2" applyNumberFormat="1" applyFont="1" applyFill="1" applyBorder="1" applyAlignment="1">
      <alignment horizontal="center"/>
    </xf>
    <xf numFmtId="9" fontId="0" fillId="0" borderId="2" xfId="2" applyFont="1" applyFill="1" applyBorder="1" applyAlignment="1">
      <alignment horizontal="center"/>
    </xf>
    <xf numFmtId="0" fontId="2" fillId="0" borderId="2" xfId="0" applyFont="1" applyBorder="1" applyAlignment="1">
      <alignment horizontal="right"/>
    </xf>
    <xf numFmtId="165" fontId="0" fillId="0" borderId="2" xfId="2" applyNumberFormat="1" applyFont="1" applyFill="1" applyBorder="1"/>
    <xf numFmtId="4" fontId="0" fillId="0" borderId="0" xfId="0" applyNumberFormat="1" applyAlignment="1">
      <alignment horizontal="center"/>
    </xf>
    <xf numFmtId="0" fontId="21" fillId="0" borderId="2" xfId="0" applyFont="1" applyBorder="1" applyAlignment="1"/>
    <xf numFmtId="0" fontId="18" fillId="0" borderId="3" xfId="0" applyFont="1" applyBorder="1" applyAlignment="1">
      <alignment horizontal="right"/>
    </xf>
    <xf numFmtId="0" fontId="0" fillId="0" borderId="0" xfId="0" applyAlignment="1" applyProtection="1">
      <alignment horizontal="center"/>
      <protection hidden="1"/>
    </xf>
    <xf numFmtId="2" fontId="0" fillId="0" borderId="0" xfId="0" applyNumberFormat="1" applyAlignment="1" applyProtection="1">
      <alignment horizont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Protection="1">
      <protection hidden="1"/>
    </xf>
    <xf numFmtId="1" fontId="0" fillId="0" borderId="0" xfId="0" applyNumberFormat="1" applyAlignment="1" applyProtection="1">
      <alignment horizontal="center" vertical="center"/>
      <protection hidden="1"/>
    </xf>
    <xf numFmtId="2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10" fillId="0" borderId="0" xfId="0" applyNumberFormat="1" applyFont="1" applyAlignment="1" applyProtection="1">
      <alignment horizontal="center"/>
      <protection hidden="1"/>
    </xf>
    <xf numFmtId="1" fontId="0" fillId="2" borderId="1" xfId="1" applyNumberFormat="1" applyFont="1" applyAlignment="1" applyProtection="1">
      <alignment horizontal="center"/>
      <protection locked="0"/>
    </xf>
    <xf numFmtId="164" fontId="0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right"/>
      <protection hidden="1"/>
    </xf>
    <xf numFmtId="166" fontId="0" fillId="0" borderId="0" xfId="0" applyNumberFormat="1" applyProtection="1">
      <protection hidden="1"/>
    </xf>
    <xf numFmtId="0" fontId="2" fillId="0" borderId="0" xfId="0" applyFont="1" applyProtection="1">
      <protection hidden="1"/>
    </xf>
    <xf numFmtId="0" fontId="0" fillId="0" borderId="2" xfId="0" applyBorder="1" applyProtection="1">
      <protection hidden="1"/>
    </xf>
    <xf numFmtId="0" fontId="11" fillId="0" borderId="0" xfId="0" applyFont="1" applyFill="1" applyProtection="1">
      <protection hidden="1"/>
    </xf>
    <xf numFmtId="1" fontId="11" fillId="0" borderId="0" xfId="0" applyNumberFormat="1" applyFont="1" applyFill="1" applyProtection="1">
      <protection hidden="1"/>
    </xf>
    <xf numFmtId="0" fontId="11" fillId="0" borderId="0" xfId="0" applyFont="1" applyProtection="1">
      <protection hidden="1"/>
    </xf>
    <xf numFmtId="164" fontId="11" fillId="0" borderId="0" xfId="0" applyNumberFormat="1" applyFont="1" applyProtection="1">
      <protection hidden="1"/>
    </xf>
    <xf numFmtId="1" fontId="11" fillId="0" borderId="0" xfId="0" applyNumberFormat="1" applyFont="1" applyProtection="1">
      <protection hidden="1"/>
    </xf>
    <xf numFmtId="2" fontId="11" fillId="0" borderId="0" xfId="0" applyNumberFormat="1" applyFont="1" applyProtection="1">
      <protection hidden="1"/>
    </xf>
    <xf numFmtId="0" fontId="0" fillId="2" borderId="1" xfId="1" applyFont="1" applyAlignment="1" applyProtection="1">
      <alignment horizontal="center" vertical="center"/>
      <protection locked="0"/>
    </xf>
    <xf numFmtId="0" fontId="0" fillId="0" borderId="0" xfId="0" applyBorder="1" applyProtection="1">
      <protection hidden="1"/>
    </xf>
    <xf numFmtId="0" fontId="0" fillId="0" borderId="0" xfId="0" applyFill="1" applyProtection="1">
      <protection hidden="1"/>
    </xf>
    <xf numFmtId="0" fontId="2" fillId="0" borderId="0" xfId="0" applyFont="1" applyFill="1" applyAlignment="1" applyProtection="1">
      <alignment horizontal="right"/>
      <protection hidden="1"/>
    </xf>
    <xf numFmtId="165" fontId="0" fillId="0" borderId="0" xfId="2" applyNumberFormat="1" applyFont="1" applyFill="1" applyAlignment="1" applyProtection="1">
      <alignment horizontal="center"/>
      <protection hidden="1"/>
    </xf>
    <xf numFmtId="9" fontId="0" fillId="0" borderId="0" xfId="2" applyFont="1" applyFill="1" applyAlignment="1" applyProtection="1">
      <alignment horizontal="center"/>
      <protection hidden="1"/>
    </xf>
    <xf numFmtId="0" fontId="2" fillId="0" borderId="2" xfId="0" applyFont="1" applyFill="1" applyBorder="1" applyAlignment="1" applyProtection="1">
      <alignment horizontal="right"/>
      <protection hidden="1"/>
    </xf>
    <xf numFmtId="0" fontId="0" fillId="0" borderId="2" xfId="0" applyFill="1" applyBorder="1" applyProtection="1">
      <protection hidden="1"/>
    </xf>
    <xf numFmtId="165" fontId="0" fillId="0" borderId="2" xfId="2" applyNumberFormat="1" applyFont="1" applyFill="1" applyBorder="1" applyAlignment="1" applyProtection="1">
      <alignment horizontal="center"/>
      <protection hidden="1"/>
    </xf>
    <xf numFmtId="9" fontId="0" fillId="0" borderId="2" xfId="2" applyFont="1" applyFill="1" applyBorder="1" applyAlignment="1" applyProtection="1">
      <alignment horizontal="center"/>
      <protection hidden="1"/>
    </xf>
    <xf numFmtId="0" fontId="2" fillId="0" borderId="2" xfId="0" applyFont="1" applyBorder="1" applyAlignment="1" applyProtection="1">
      <alignment horizontal="right"/>
      <protection hidden="1"/>
    </xf>
    <xf numFmtId="166" fontId="0" fillId="0" borderId="0" xfId="0" applyNumberFormat="1" applyAlignment="1" applyProtection="1">
      <alignment horizontal="center"/>
      <protection hidden="1"/>
    </xf>
    <xf numFmtId="0" fontId="2" fillId="0" borderId="0" xfId="0" applyFont="1" applyAlignment="1">
      <alignment horizontal="right" indent="1"/>
    </xf>
    <xf numFmtId="0" fontId="23" fillId="0" borderId="0" xfId="0" applyFont="1" applyAlignment="1">
      <alignment horizontal="right" indent="1"/>
    </xf>
    <xf numFmtId="0" fontId="18" fillId="0" borderId="3" xfId="0" applyFont="1" applyBorder="1" applyAlignment="1"/>
    <xf numFmtId="0" fontId="21" fillId="0" borderId="0" xfId="0" applyFont="1"/>
    <xf numFmtId="0" fontId="0" fillId="0" borderId="0" xfId="0" applyProtection="1">
      <protection locked="0"/>
    </xf>
    <xf numFmtId="0" fontId="18" fillId="0" borderId="3" xfId="0" applyFont="1" applyBorder="1" applyAlignment="1">
      <alignment horizontal="right"/>
    </xf>
    <xf numFmtId="0" fontId="24" fillId="3" borderId="11" xfId="4"/>
    <xf numFmtId="166" fontId="24" fillId="3" borderId="11" xfId="4" applyNumberFormat="1"/>
    <xf numFmtId="166" fontId="24" fillId="3" borderId="11" xfId="4" applyNumberFormat="1" applyAlignment="1">
      <alignment horizontal="center"/>
    </xf>
    <xf numFmtId="164" fontId="24" fillId="3" borderId="11" xfId="4" applyNumberFormat="1" applyAlignment="1">
      <alignment horizontal="center"/>
    </xf>
    <xf numFmtId="1" fontId="0" fillId="0" borderId="12" xfId="0" applyNumberFormat="1" applyBorder="1" applyAlignment="1">
      <alignment horizontal="center"/>
    </xf>
    <xf numFmtId="0" fontId="2" fillId="0" borderId="2" xfId="0" applyFont="1" applyBorder="1"/>
    <xf numFmtId="1" fontId="0" fillId="0" borderId="2" xfId="0" applyNumberFormat="1" applyBorder="1" applyAlignment="1">
      <alignment horizontal="center"/>
    </xf>
    <xf numFmtId="2" fontId="0" fillId="2" borderId="1" xfId="1" applyNumberFormat="1" applyFont="1" applyAlignment="1" applyProtection="1">
      <alignment horizontal="center" vertical="center"/>
      <protection locked="0"/>
    </xf>
    <xf numFmtId="0" fontId="18" fillId="0" borderId="3" xfId="0" applyFont="1" applyBorder="1" applyAlignment="1">
      <alignment horizontal="right"/>
    </xf>
    <xf numFmtId="2" fontId="10" fillId="0" borderId="0" xfId="0" applyNumberFormat="1" applyFont="1" applyAlignment="1" applyProtection="1">
      <alignment horizontal="center"/>
      <protection hidden="1"/>
    </xf>
    <xf numFmtId="164" fontId="0" fillId="0" borderId="13" xfId="0" applyNumberFormat="1" applyBorder="1" applyAlignment="1" applyProtection="1">
      <alignment horizontal="center"/>
      <protection hidden="1"/>
    </xf>
    <xf numFmtId="0" fontId="0" fillId="0" borderId="0" xfId="0" applyAlignment="1" applyProtection="1">
      <alignment horizontal="left"/>
      <protection hidden="1"/>
    </xf>
    <xf numFmtId="0" fontId="0" fillId="0" borderId="0" xfId="0" applyAlignment="1" applyProtection="1">
      <alignment horizontal="left" indent="28"/>
      <protection hidden="1"/>
    </xf>
    <xf numFmtId="166" fontId="0" fillId="0" borderId="0" xfId="0" applyNumberFormat="1" applyAlignment="1" applyProtection="1">
      <alignment horizontal="left" indent="25"/>
      <protection hidden="1"/>
    </xf>
    <xf numFmtId="0" fontId="0" fillId="0" borderId="0" xfId="0" applyAlignment="1" applyProtection="1">
      <alignment horizontal="left" indent="31"/>
      <protection hidden="1"/>
    </xf>
    <xf numFmtId="0" fontId="0" fillId="0" borderId="0" xfId="0" applyAlignment="1" applyProtection="1">
      <alignment horizontal="left" indent="30"/>
      <protection hidden="1"/>
    </xf>
    <xf numFmtId="2" fontId="0" fillId="0" borderId="0" xfId="0" applyNumberFormat="1" applyAlignment="1" applyProtection="1">
      <alignment horizontal="center"/>
    </xf>
    <xf numFmtId="0" fontId="0" fillId="0" borderId="0" xfId="0" applyFill="1" applyBorder="1"/>
    <xf numFmtId="2" fontId="0" fillId="2" borderId="1" xfId="1" applyNumberFormat="1" applyFont="1" applyAlignment="1" applyProtection="1">
      <alignment horizontal="center"/>
      <protection hidden="1"/>
    </xf>
    <xf numFmtId="2" fontId="0" fillId="2" borderId="1" xfId="1" applyNumberFormat="1" applyFont="1" applyAlignment="1" applyProtection="1">
      <alignment horizontal="center"/>
    </xf>
    <xf numFmtId="0" fontId="2" fillId="0" borderId="0" xfId="0" applyFont="1" applyBorder="1" applyProtection="1">
      <protection hidden="1"/>
    </xf>
    <xf numFmtId="0" fontId="0" fillId="0" borderId="0" xfId="0" applyAlignment="1" applyProtection="1">
      <alignment horizontal="left" indent="18"/>
      <protection hidden="1"/>
    </xf>
    <xf numFmtId="166" fontId="0" fillId="0" borderId="0" xfId="0" applyNumberFormat="1" applyAlignment="1" applyProtection="1">
      <alignment horizontal="left" indent="18"/>
      <protection hidden="1"/>
    </xf>
    <xf numFmtId="0" fontId="1" fillId="0" borderId="0" xfId="3"/>
    <xf numFmtId="0" fontId="0" fillId="2" borderId="1" xfId="1" applyFont="1" applyAlignment="1" applyProtection="1">
      <alignment horizontal="center"/>
      <protection locked="0" hidden="1"/>
    </xf>
    <xf numFmtId="0" fontId="0" fillId="0" borderId="13" xfId="0" applyBorder="1" applyAlignment="1" applyProtection="1">
      <alignment horizontal="center"/>
      <protection hidden="1"/>
    </xf>
    <xf numFmtId="1" fontId="0" fillId="0" borderId="13" xfId="0" applyNumberFormat="1" applyBorder="1" applyAlignment="1" applyProtection="1">
      <alignment horizontal="center"/>
      <protection hidden="1"/>
    </xf>
    <xf numFmtId="0" fontId="1" fillId="4" borderId="0" xfId="6" applyAlignment="1" applyProtection="1">
      <alignment horizontal="center"/>
      <protection hidden="1"/>
    </xf>
    <xf numFmtId="0" fontId="1" fillId="4" borderId="13" xfId="6" applyBorder="1" applyAlignment="1" applyProtection="1">
      <alignment horizontal="center"/>
      <protection hidden="1"/>
    </xf>
    <xf numFmtId="0" fontId="1" fillId="4" borderId="0" xfId="6" applyAlignment="1">
      <alignment horizontal="center"/>
    </xf>
    <xf numFmtId="0" fontId="1" fillId="4" borderId="13" xfId="6" applyBorder="1" applyAlignment="1">
      <alignment horizontal="center"/>
    </xf>
    <xf numFmtId="0" fontId="2" fillId="0" borderId="14" xfId="5" applyAlignment="1">
      <alignment horizontal="center"/>
    </xf>
    <xf numFmtId="164" fontId="2" fillId="0" borderId="14" xfId="5" applyNumberFormat="1" applyAlignment="1">
      <alignment horizontal="center"/>
    </xf>
    <xf numFmtId="0" fontId="2" fillId="0" borderId="18" xfId="0" applyFont="1" applyBorder="1" applyAlignment="1" applyProtection="1">
      <alignment horizontal="center"/>
      <protection hidden="1"/>
    </xf>
    <xf numFmtId="0" fontId="1" fillId="4" borderId="0" xfId="6" applyProtection="1">
      <protection hidden="1"/>
    </xf>
    <xf numFmtId="0" fontId="0" fillId="0" borderId="0" xfId="0" applyFill="1" applyBorder="1" applyAlignment="1" applyProtection="1">
      <alignment horizontal="right"/>
      <protection hidden="1"/>
    </xf>
    <xf numFmtId="0" fontId="0" fillId="2" borderId="19" xfId="1" applyFont="1" applyBorder="1" applyAlignment="1" applyProtection="1">
      <alignment horizontal="center"/>
      <protection locked="0"/>
    </xf>
    <xf numFmtId="0" fontId="2" fillId="0" borderId="2" xfId="0" applyFont="1" applyBorder="1" applyAlignment="1" applyProtection="1">
      <alignment horizontal="center"/>
      <protection hidden="1"/>
    </xf>
    <xf numFmtId="164" fontId="0" fillId="0" borderId="0" xfId="0" applyNumberFormat="1" applyBorder="1" applyAlignment="1">
      <alignment horizontal="center"/>
    </xf>
    <xf numFmtId="0" fontId="5" fillId="0" borderId="0" xfId="0" applyFont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 applyBorder="1" applyAlignment="1">
      <alignment vertical="center" wrapText="1"/>
    </xf>
    <xf numFmtId="0" fontId="0" fillId="0" borderId="0" xfId="0" applyAlignment="1">
      <alignment horizontal="left" vertical="center" wrapText="1"/>
    </xf>
    <xf numFmtId="0" fontId="2" fillId="0" borderId="0" xfId="0" applyFont="1" applyFill="1" applyBorder="1" applyAlignment="1">
      <alignment horizontal="right"/>
    </xf>
    <xf numFmtId="0" fontId="26" fillId="0" borderId="2" xfId="0" applyFont="1" applyFill="1" applyBorder="1" applyAlignment="1"/>
    <xf numFmtId="0" fontId="2" fillId="0" borderId="2" xfId="0" applyFont="1" applyBorder="1" applyProtection="1">
      <protection hidden="1"/>
    </xf>
    <xf numFmtId="0" fontId="2" fillId="0" borderId="0" xfId="0" applyFont="1" applyBorder="1"/>
    <xf numFmtId="0" fontId="0" fillId="0" borderId="0" xfId="0" applyAlignment="1">
      <alignment horizontal="left" indent="18"/>
    </xf>
    <xf numFmtId="166" fontId="0" fillId="0" borderId="0" xfId="0" applyNumberFormat="1" applyAlignment="1">
      <alignment horizontal="left" indent="18"/>
    </xf>
    <xf numFmtId="0" fontId="0" fillId="0" borderId="0" xfId="0" applyFont="1" applyFill="1" applyBorder="1" applyAlignment="1" applyProtection="1">
      <alignment horizontal="left"/>
      <protection locked="0"/>
    </xf>
    <xf numFmtId="165" fontId="0" fillId="0" borderId="0" xfId="0" applyNumberFormat="1"/>
    <xf numFmtId="165" fontId="0" fillId="0" borderId="2" xfId="0" applyNumberFormat="1" applyBorder="1"/>
    <xf numFmtId="165" fontId="0" fillId="0" borderId="0" xfId="0" applyNumberFormat="1" applyAlignment="1">
      <alignment horizontal="center"/>
    </xf>
    <xf numFmtId="165" fontId="0" fillId="0" borderId="2" xfId="0" applyNumberFormat="1" applyBorder="1" applyAlignment="1">
      <alignment horizontal="center"/>
    </xf>
    <xf numFmtId="0" fontId="2" fillId="0" borderId="2" xfId="0" applyFont="1" applyBorder="1" applyAlignment="1">
      <alignment horizontal="center" wrapText="1"/>
    </xf>
    <xf numFmtId="0" fontId="14" fillId="0" borderId="2" xfId="0" applyFont="1" applyBorder="1" applyAlignment="1">
      <alignment horizontal="center" wrapText="1"/>
    </xf>
    <xf numFmtId="0" fontId="14" fillId="0" borderId="2" xfId="0" applyFont="1" applyFill="1" applyBorder="1" applyAlignment="1">
      <alignment horizontal="center" wrapText="1"/>
    </xf>
    <xf numFmtId="164" fontId="14" fillId="0" borderId="2" xfId="0" applyNumberFormat="1" applyFont="1" applyFill="1" applyBorder="1" applyAlignment="1">
      <alignment horizontal="center" wrapText="1"/>
    </xf>
    <xf numFmtId="165" fontId="0" fillId="0" borderId="0" xfId="2" applyNumberFormat="1" applyFont="1" applyAlignment="1">
      <alignment horizontal="center"/>
    </xf>
    <xf numFmtId="165" fontId="0" fillId="0" borderId="2" xfId="2" applyNumberFormat="1" applyFont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2" xfId="0" applyFont="1" applyBorder="1" applyAlignment="1">
      <alignment wrapText="1"/>
    </xf>
    <xf numFmtId="0" fontId="0" fillId="0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2" fontId="2" fillId="0" borderId="0" xfId="0" applyNumberFormat="1" applyFont="1" applyAlignment="1">
      <alignment vertical="center" wrapText="1"/>
    </xf>
    <xf numFmtId="2" fontId="0" fillId="0" borderId="0" xfId="0" applyNumberFormat="1" applyAlignment="1" applyProtection="1">
      <alignment horizontal="center" vertical="center"/>
    </xf>
    <xf numFmtId="0" fontId="27" fillId="6" borderId="0" xfId="8"/>
    <xf numFmtId="166" fontId="27" fillId="6" borderId="0" xfId="8" applyNumberFormat="1"/>
    <xf numFmtId="166" fontId="27" fillId="6" borderId="0" xfId="8" applyNumberFormat="1" applyAlignment="1">
      <alignment horizontal="center"/>
    </xf>
    <xf numFmtId="164" fontId="27" fillId="6" borderId="0" xfId="8" applyNumberFormat="1" applyAlignment="1">
      <alignment horizontal="center"/>
    </xf>
    <xf numFmtId="0" fontId="27" fillId="6" borderId="1" xfId="8" applyBorder="1"/>
    <xf numFmtId="166" fontId="27" fillId="6" borderId="1" xfId="8" applyNumberFormat="1" applyBorder="1"/>
    <xf numFmtId="166" fontId="27" fillId="6" borderId="1" xfId="8" applyNumberFormat="1" applyBorder="1" applyAlignment="1">
      <alignment horizontal="center"/>
    </xf>
    <xf numFmtId="164" fontId="27" fillId="6" borderId="1" xfId="8" applyNumberFormat="1" applyBorder="1" applyAlignment="1">
      <alignment horizontal="center"/>
    </xf>
    <xf numFmtId="9" fontId="0" fillId="0" borderId="0" xfId="2" applyNumberFormat="1" applyFont="1" applyAlignment="1">
      <alignment horizontal="center"/>
    </xf>
    <xf numFmtId="165" fontId="0" fillId="0" borderId="0" xfId="2" applyNumberFormat="1" applyFont="1" applyAlignment="1">
      <alignment horizontal="center"/>
    </xf>
    <xf numFmtId="166" fontId="0" fillId="2" borderId="1" xfId="1" applyNumberFormat="1" applyFont="1" applyAlignment="1" applyProtection="1">
      <alignment horizontal="center"/>
      <protection locked="0"/>
    </xf>
    <xf numFmtId="0" fontId="0" fillId="0" borderId="0" xfId="0" applyBorder="1" applyAlignment="1">
      <alignment vertical="center"/>
    </xf>
    <xf numFmtId="0" fontId="0" fillId="0" borderId="0" xfId="0" applyAlignment="1" applyProtection="1">
      <alignment vertical="center"/>
      <protection hidden="1"/>
    </xf>
    <xf numFmtId="2" fontId="0" fillId="0" borderId="0" xfId="0" applyNumberFormat="1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vertical="center"/>
      <protection hidden="1"/>
    </xf>
    <xf numFmtId="166" fontId="0" fillId="0" borderId="0" xfId="0" applyNumberFormat="1" applyAlignment="1">
      <alignment horizontal="center" vertical="center"/>
    </xf>
    <xf numFmtId="0" fontId="0" fillId="0" borderId="0" xfId="0" applyFill="1" applyBorder="1" applyAlignment="1" applyProtection="1">
      <alignment vertical="center"/>
      <protection hidden="1"/>
    </xf>
    <xf numFmtId="10" fontId="0" fillId="0" borderId="0" xfId="2" applyNumberFormat="1" applyFont="1" applyAlignment="1">
      <alignment horizontal="center"/>
    </xf>
    <xf numFmtId="0" fontId="0" fillId="0" borderId="0" xfId="0" applyAlignment="1">
      <alignment horizontal="left" indent="2"/>
    </xf>
    <xf numFmtId="1" fontId="0" fillId="2" borderId="20" xfId="1" applyNumberFormat="1" applyFont="1" applyBorder="1" applyAlignment="1" applyProtection="1">
      <alignment horizontal="center"/>
      <protection locked="0"/>
    </xf>
    <xf numFmtId="1" fontId="0" fillId="2" borderId="1" xfId="1" applyNumberFormat="1" applyFont="1" applyAlignment="1" applyProtection="1">
      <alignment horizontal="center" vertical="center"/>
      <protection locked="0"/>
    </xf>
    <xf numFmtId="1" fontId="0" fillId="0" borderId="0" xfId="0" applyNumberFormat="1" applyProtection="1">
      <protection hidden="1"/>
    </xf>
    <xf numFmtId="166" fontId="11" fillId="0" borderId="0" xfId="0" applyNumberFormat="1" applyFont="1"/>
    <xf numFmtId="0" fontId="31" fillId="0" borderId="0" xfId="0" applyFont="1"/>
    <xf numFmtId="165" fontId="0" fillId="0" borderId="0" xfId="2" applyNumberFormat="1" applyFont="1" applyAlignment="1">
      <alignment horizontal="center"/>
    </xf>
    <xf numFmtId="0" fontId="14" fillId="0" borderId="2" xfId="0" applyFont="1" applyBorder="1" applyAlignment="1">
      <alignment horizontal="center" wrapText="1"/>
    </xf>
    <xf numFmtId="0" fontId="2" fillId="0" borderId="3" xfId="0" applyFont="1" applyBorder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18" fillId="0" borderId="3" xfId="0" applyFont="1" applyBorder="1" applyAlignment="1">
      <alignment horizontal="right"/>
    </xf>
    <xf numFmtId="0" fontId="0" fillId="0" borderId="0" xfId="0" quotePrefix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Fill="1" applyBorder="1" applyAlignment="1">
      <alignment horizontal="right" vertical="center"/>
    </xf>
    <xf numFmtId="0" fontId="21" fillId="0" borderId="0" xfId="0" applyFont="1" applyBorder="1" applyAlignment="1"/>
    <xf numFmtId="167" fontId="0" fillId="0" borderId="0" xfId="0" applyNumberFormat="1" applyAlignment="1" applyProtection="1">
      <alignment horizontal="center"/>
      <protection hidden="1"/>
    </xf>
    <xf numFmtId="0" fontId="33" fillId="0" borderId="0" xfId="9" applyAlignment="1">
      <alignment horizontal="left" vertical="top" wrapText="1"/>
    </xf>
    <xf numFmtId="0" fontId="18" fillId="7" borderId="0" xfId="0" applyFont="1" applyFill="1" applyAlignment="1">
      <alignment horizontal="left" vertical="top" wrapText="1"/>
    </xf>
    <xf numFmtId="0" fontId="18" fillId="7" borderId="0" xfId="0" applyFont="1" applyFill="1" applyAlignment="1">
      <alignment horizontal="left" vertical="top"/>
    </xf>
    <xf numFmtId="0" fontId="24" fillId="3" borderId="11" xfId="4" applyAlignment="1">
      <alignment horizontal="center"/>
    </xf>
    <xf numFmtId="0" fontId="21" fillId="0" borderId="3" xfId="0" applyFont="1" applyBorder="1" applyAlignment="1">
      <alignment horizontal="right"/>
    </xf>
    <xf numFmtId="0" fontId="4" fillId="0" borderId="2" xfId="0" applyFont="1" applyBorder="1" applyAlignment="1">
      <alignment horizontal="left"/>
    </xf>
    <xf numFmtId="0" fontId="0" fillId="2" borderId="6" xfId="1" applyFont="1" applyBorder="1" applyAlignment="1" applyProtection="1">
      <alignment horizontal="left"/>
      <protection locked="0"/>
    </xf>
    <xf numFmtId="0" fontId="0" fillId="2" borderId="7" xfId="1" applyFont="1" applyBorder="1" applyAlignment="1" applyProtection="1">
      <alignment horizontal="left"/>
      <protection locked="0"/>
    </xf>
    <xf numFmtId="0" fontId="0" fillId="2" borderId="8" xfId="1" applyFont="1" applyBorder="1" applyAlignment="1" applyProtection="1">
      <alignment horizontal="left"/>
      <protection locked="0"/>
    </xf>
    <xf numFmtId="0" fontId="0" fillId="2" borderId="9" xfId="1" applyFont="1" applyBorder="1" applyAlignment="1" applyProtection="1">
      <alignment horizontal="left"/>
      <protection locked="0"/>
    </xf>
    <xf numFmtId="0" fontId="0" fillId="2" borderId="5" xfId="1" applyFont="1" applyBorder="1" applyAlignment="1" applyProtection="1">
      <alignment horizontal="left"/>
      <protection locked="0"/>
    </xf>
    <xf numFmtId="0" fontId="0" fillId="2" borderId="10" xfId="1" applyFont="1" applyBorder="1" applyAlignment="1" applyProtection="1">
      <alignment horizontal="left"/>
      <protection locked="0"/>
    </xf>
    <xf numFmtId="0" fontId="32" fillId="0" borderId="2" xfId="0" applyFont="1" applyBorder="1" applyAlignment="1">
      <alignment horizontal="center"/>
    </xf>
    <xf numFmtId="165" fontId="0" fillId="0" borderId="0" xfId="2" applyNumberFormat="1" applyFont="1" applyAlignment="1">
      <alignment horizontal="center"/>
    </xf>
    <xf numFmtId="2" fontId="24" fillId="3" borderId="11" xfId="4" applyNumberFormat="1" applyAlignment="1">
      <alignment horizontal="center"/>
    </xf>
    <xf numFmtId="0" fontId="0" fillId="0" borderId="5" xfId="0" applyFont="1" applyFill="1" applyBorder="1" applyAlignment="1" applyProtection="1">
      <alignment horizontal="left"/>
      <protection locked="0"/>
    </xf>
    <xf numFmtId="0" fontId="2" fillId="0" borderId="5" xfId="0" applyFont="1" applyFill="1" applyBorder="1" applyAlignment="1" applyProtection="1">
      <alignment horizontal="center"/>
      <protection locked="0"/>
    </xf>
    <xf numFmtId="0" fontId="2" fillId="0" borderId="2" xfId="0" applyFont="1" applyFill="1" applyBorder="1" applyAlignment="1" applyProtection="1">
      <alignment horizontal="center"/>
      <protection locked="0"/>
    </xf>
    <xf numFmtId="0" fontId="14" fillId="0" borderId="2" xfId="0" applyFont="1" applyBorder="1" applyAlignment="1">
      <alignment horizontal="center" wrapText="1"/>
    </xf>
    <xf numFmtId="166" fontId="24" fillId="3" borderId="11" xfId="4" applyNumberFormat="1" applyAlignment="1">
      <alignment horizontal="center" vertical="center"/>
    </xf>
    <xf numFmtId="0" fontId="24" fillId="3" borderId="11" xfId="4" applyAlignment="1">
      <alignment horizontal="center" vertical="center"/>
    </xf>
    <xf numFmtId="1" fontId="24" fillId="3" borderId="11" xfId="4" applyNumberFormat="1" applyAlignment="1">
      <alignment horizontal="center" vertical="center"/>
    </xf>
    <xf numFmtId="165" fontId="0" fillId="0" borderId="2" xfId="2" applyNumberFormat="1" applyFont="1" applyBorder="1" applyAlignment="1">
      <alignment horizontal="center"/>
    </xf>
    <xf numFmtId="0" fontId="2" fillId="2" borderId="15" xfId="1" applyFont="1" applyBorder="1" applyAlignment="1">
      <alignment horizontal="center"/>
    </xf>
    <xf numFmtId="0" fontId="2" fillId="2" borderId="16" xfId="1" applyFont="1" applyBorder="1" applyAlignment="1">
      <alignment horizontal="center"/>
    </xf>
    <xf numFmtId="0" fontId="2" fillId="2" borderId="17" xfId="1" applyFont="1" applyBorder="1" applyAlignment="1">
      <alignment horizontal="center"/>
    </xf>
    <xf numFmtId="0" fontId="1" fillId="5" borderId="0" xfId="7" applyBorder="1" applyAlignment="1">
      <alignment horizontal="left" vertical="center" wrapText="1"/>
    </xf>
    <xf numFmtId="0" fontId="1" fillId="5" borderId="2" xfId="7" applyBorder="1" applyAlignment="1">
      <alignment horizontal="left" vertical="center" wrapText="1"/>
    </xf>
    <xf numFmtId="0" fontId="2" fillId="4" borderId="2" xfId="6" applyFont="1" applyBorder="1" applyAlignment="1" applyProtection="1">
      <alignment horizontal="center"/>
      <protection hidden="1"/>
    </xf>
    <xf numFmtId="0" fontId="2" fillId="4" borderId="2" xfId="6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32" fillId="0" borderId="2" xfId="0" applyFont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2" fontId="24" fillId="3" borderId="11" xfId="4" applyNumberFormat="1" applyAlignment="1">
      <alignment horizontal="center" vertical="center"/>
    </xf>
    <xf numFmtId="0" fontId="33" fillId="0" borderId="0" xfId="9" applyAlignment="1">
      <alignment horizontal="left" vertical="top"/>
    </xf>
    <xf numFmtId="168" fontId="24" fillId="3" borderId="11" xfId="4" applyNumberFormat="1" applyAlignment="1">
      <alignment horizontal="center"/>
    </xf>
    <xf numFmtId="167" fontId="24" fillId="3" borderId="11" xfId="4" applyNumberFormat="1" applyAlignment="1">
      <alignment horizontal="center"/>
    </xf>
    <xf numFmtId="0" fontId="2" fillId="0" borderId="0" xfId="0" applyFont="1" applyAlignment="1" applyProtection="1">
      <alignment horizontal="center"/>
      <protection hidden="1"/>
    </xf>
    <xf numFmtId="165" fontId="0" fillId="0" borderId="0" xfId="2" applyNumberFormat="1" applyFont="1" applyFill="1" applyAlignment="1" applyProtection="1">
      <alignment horizontal="center"/>
      <protection hidden="1"/>
    </xf>
    <xf numFmtId="165" fontId="0" fillId="0" borderId="2" xfId="2" applyNumberFormat="1" applyFont="1" applyFill="1" applyBorder="1" applyAlignment="1" applyProtection="1">
      <alignment horizontal="center"/>
      <protection hidden="1"/>
    </xf>
    <xf numFmtId="2" fontId="24" fillId="3" borderId="21" xfId="4" applyNumberFormat="1" applyBorder="1" applyAlignment="1">
      <alignment horizontal="center" vertical="center"/>
    </xf>
    <xf numFmtId="0" fontId="24" fillId="3" borderId="22" xfId="4" applyBorder="1" applyAlignment="1">
      <alignment horizontal="center" vertical="center"/>
    </xf>
    <xf numFmtId="167" fontId="24" fillId="3" borderId="11" xfId="4" applyNumberFormat="1" applyAlignment="1">
      <alignment horizontal="center" vertical="center"/>
    </xf>
    <xf numFmtId="0" fontId="2" fillId="0" borderId="3" xfId="0" applyFont="1" applyBorder="1" applyAlignment="1" applyProtection="1">
      <alignment horizontal="center"/>
      <protection hidden="1"/>
    </xf>
    <xf numFmtId="0" fontId="2" fillId="0" borderId="3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2" xfId="0" applyFont="1" applyBorder="1" applyAlignment="1">
      <alignment horizontal="center" wrapText="1"/>
    </xf>
    <xf numFmtId="165" fontId="0" fillId="0" borderId="3" xfId="2" applyNumberFormat="1" applyFont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18" fillId="0" borderId="3" xfId="0" applyFont="1" applyBorder="1" applyAlignment="1">
      <alignment horizontal="right"/>
    </xf>
    <xf numFmtId="164" fontId="24" fillId="3" borderId="11" xfId="4" applyNumberFormat="1" applyAlignment="1">
      <alignment horizontal="center" vertical="center"/>
    </xf>
  </cellXfs>
  <cellStyles count="10">
    <cellStyle name="20% - Accent1" xfId="6" builtinId="30"/>
    <cellStyle name="40% - Accent1" xfId="7" builtinId="31"/>
    <cellStyle name="Good" xfId="8" builtinId="26"/>
    <cellStyle name="Hyperlink" xfId="9" builtinId="8"/>
    <cellStyle name="Input" xfId="4" builtinId="20"/>
    <cellStyle name="Normal" xfId="0" builtinId="0"/>
    <cellStyle name="Normal 2" xfId="3" xr:uid="{00000000-0005-0000-0000-000005000000}"/>
    <cellStyle name="Note" xfId="1" builtinId="10"/>
    <cellStyle name="Percent" xfId="2" builtinId="5"/>
    <cellStyle name="Total" xfId="5" builtinId="25"/>
  </cellStyles>
  <dxfs count="76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Filter Impedance Vs.</a:t>
            </a:r>
            <a:r>
              <a:rPr lang="en-US" baseline="0"/>
              <a:t> Harmonic Number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6266185476815402E-2"/>
          <c:y val="7.4548702245552642E-2"/>
          <c:w val="0.85094219595979592"/>
          <c:h val="0.8326195683872849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'Notch Filter Design'!$AZ$3:$AZ$249</c:f>
              <c:numCache>
                <c:formatCode>General</c:formatCode>
                <c:ptCount val="247"/>
                <c:pt idx="0">
                  <c:v>1</c:v>
                </c:pt>
                <c:pt idx="1">
                  <c:v>1.2</c:v>
                </c:pt>
                <c:pt idx="2">
                  <c:v>1.4</c:v>
                </c:pt>
                <c:pt idx="3">
                  <c:v>1.5999999999999999</c:v>
                </c:pt>
                <c:pt idx="4">
                  <c:v>1.7999999999999998</c:v>
                </c:pt>
                <c:pt idx="5">
                  <c:v>1.9999999999999998</c:v>
                </c:pt>
                <c:pt idx="6">
                  <c:v>2.1999999999999997</c:v>
                </c:pt>
                <c:pt idx="7">
                  <c:v>2.4</c:v>
                </c:pt>
                <c:pt idx="8">
                  <c:v>2.6</c:v>
                </c:pt>
                <c:pt idx="9">
                  <c:v>2.8000000000000003</c:v>
                </c:pt>
                <c:pt idx="10">
                  <c:v>3.0000000000000004</c:v>
                </c:pt>
                <c:pt idx="11">
                  <c:v>3.2000000000000006</c:v>
                </c:pt>
                <c:pt idx="12">
                  <c:v>3.4000000000000008</c:v>
                </c:pt>
                <c:pt idx="13">
                  <c:v>3.600000000000001</c:v>
                </c:pt>
                <c:pt idx="14">
                  <c:v>3.8000000000000012</c:v>
                </c:pt>
                <c:pt idx="15">
                  <c:v>4.0000000000000009</c:v>
                </c:pt>
                <c:pt idx="16">
                  <c:v>4.2000000000000011</c:v>
                </c:pt>
                <c:pt idx="17">
                  <c:v>4.4000000000000012</c:v>
                </c:pt>
                <c:pt idx="18">
                  <c:v>4.6000000000000014</c:v>
                </c:pt>
                <c:pt idx="19">
                  <c:v>4.8000000000000016</c:v>
                </c:pt>
                <c:pt idx="20">
                  <c:v>5.0000000000000018</c:v>
                </c:pt>
                <c:pt idx="21">
                  <c:v>5.200000000000002</c:v>
                </c:pt>
                <c:pt idx="22">
                  <c:v>5.4000000000000021</c:v>
                </c:pt>
                <c:pt idx="23">
                  <c:v>5.6000000000000023</c:v>
                </c:pt>
                <c:pt idx="24">
                  <c:v>5.8000000000000025</c:v>
                </c:pt>
                <c:pt idx="25">
                  <c:v>6.0000000000000027</c:v>
                </c:pt>
                <c:pt idx="26">
                  <c:v>6.2000000000000028</c:v>
                </c:pt>
                <c:pt idx="27">
                  <c:v>6.400000000000003</c:v>
                </c:pt>
                <c:pt idx="28">
                  <c:v>6.6000000000000032</c:v>
                </c:pt>
                <c:pt idx="29">
                  <c:v>6.8000000000000034</c:v>
                </c:pt>
                <c:pt idx="30">
                  <c:v>7.0000000000000036</c:v>
                </c:pt>
                <c:pt idx="31">
                  <c:v>7.2000000000000037</c:v>
                </c:pt>
                <c:pt idx="32">
                  <c:v>7.4000000000000039</c:v>
                </c:pt>
                <c:pt idx="33">
                  <c:v>7.6000000000000041</c:v>
                </c:pt>
                <c:pt idx="34">
                  <c:v>7.8000000000000043</c:v>
                </c:pt>
                <c:pt idx="35">
                  <c:v>8.0000000000000036</c:v>
                </c:pt>
                <c:pt idx="36">
                  <c:v>8.2000000000000028</c:v>
                </c:pt>
                <c:pt idx="37">
                  <c:v>8.4000000000000021</c:v>
                </c:pt>
                <c:pt idx="38">
                  <c:v>8.6000000000000014</c:v>
                </c:pt>
                <c:pt idx="39">
                  <c:v>8.8000000000000007</c:v>
                </c:pt>
                <c:pt idx="41">
                  <c:v>9</c:v>
                </c:pt>
                <c:pt idx="42">
                  <c:v>9.1999999999999993</c:v>
                </c:pt>
                <c:pt idx="43">
                  <c:v>9.3999999999999986</c:v>
                </c:pt>
                <c:pt idx="44">
                  <c:v>9.5999999999999979</c:v>
                </c:pt>
                <c:pt idx="45">
                  <c:v>9.7999999999999972</c:v>
                </c:pt>
                <c:pt idx="46">
                  <c:v>9.9999999999999964</c:v>
                </c:pt>
                <c:pt idx="47">
                  <c:v>10.199999999999996</c:v>
                </c:pt>
                <c:pt idx="48">
                  <c:v>10.399999999999995</c:v>
                </c:pt>
                <c:pt idx="49">
                  <c:v>10.599999999999994</c:v>
                </c:pt>
                <c:pt idx="50">
                  <c:v>10.799999999999994</c:v>
                </c:pt>
                <c:pt idx="51">
                  <c:v>10.999999999999993</c:v>
                </c:pt>
                <c:pt idx="52">
                  <c:v>11.199999999999992</c:v>
                </c:pt>
                <c:pt idx="53">
                  <c:v>11.399999999999991</c:v>
                </c:pt>
                <c:pt idx="54">
                  <c:v>11.599999999999991</c:v>
                </c:pt>
                <c:pt idx="55">
                  <c:v>11.79999999999999</c:v>
                </c:pt>
                <c:pt idx="56">
                  <c:v>11.999999999999989</c:v>
                </c:pt>
                <c:pt idx="57">
                  <c:v>12.199999999999989</c:v>
                </c:pt>
                <c:pt idx="58">
                  <c:v>12.399999999999988</c:v>
                </c:pt>
                <c:pt idx="59">
                  <c:v>12.599999999999987</c:v>
                </c:pt>
                <c:pt idx="60">
                  <c:v>12.799999999999986</c:v>
                </c:pt>
                <c:pt idx="61">
                  <c:v>12.999999999999986</c:v>
                </c:pt>
                <c:pt idx="62">
                  <c:v>13.199999999999985</c:v>
                </c:pt>
                <c:pt idx="63">
                  <c:v>13.399999999999984</c:v>
                </c:pt>
                <c:pt idx="64">
                  <c:v>13.599999999999984</c:v>
                </c:pt>
                <c:pt idx="65">
                  <c:v>13.799999999999983</c:v>
                </c:pt>
                <c:pt idx="66">
                  <c:v>13.999999999999982</c:v>
                </c:pt>
                <c:pt idx="67">
                  <c:v>14.199999999999982</c:v>
                </c:pt>
                <c:pt idx="68">
                  <c:v>14.399999999999981</c:v>
                </c:pt>
                <c:pt idx="69">
                  <c:v>14.59999999999998</c:v>
                </c:pt>
                <c:pt idx="70">
                  <c:v>14.799999999999979</c:v>
                </c:pt>
                <c:pt idx="71">
                  <c:v>14.999999999999979</c:v>
                </c:pt>
                <c:pt idx="72">
                  <c:v>15.199999999999978</c:v>
                </c:pt>
                <c:pt idx="73">
                  <c:v>15.399999999999977</c:v>
                </c:pt>
                <c:pt idx="74">
                  <c:v>15.599999999999977</c:v>
                </c:pt>
                <c:pt idx="75">
                  <c:v>15.799999999999976</c:v>
                </c:pt>
                <c:pt idx="76">
                  <c:v>15.999999999999975</c:v>
                </c:pt>
                <c:pt idx="77">
                  <c:v>16.199999999999974</c:v>
                </c:pt>
                <c:pt idx="78">
                  <c:v>16.399999999999974</c:v>
                </c:pt>
                <c:pt idx="79">
                  <c:v>16.599999999999973</c:v>
                </c:pt>
                <c:pt idx="80">
                  <c:v>16.799999999999972</c:v>
                </c:pt>
                <c:pt idx="81">
                  <c:v>16.999999999999972</c:v>
                </c:pt>
                <c:pt idx="82">
                  <c:v>17.199999999999971</c:v>
                </c:pt>
                <c:pt idx="83">
                  <c:v>17.39999999999997</c:v>
                </c:pt>
                <c:pt idx="84">
                  <c:v>17.599999999999969</c:v>
                </c:pt>
                <c:pt idx="85">
                  <c:v>17.799999999999969</c:v>
                </c:pt>
                <c:pt idx="86">
                  <c:v>17.999999999999968</c:v>
                </c:pt>
                <c:pt idx="87">
                  <c:v>18.199999999999967</c:v>
                </c:pt>
                <c:pt idx="88">
                  <c:v>18.399999999999967</c:v>
                </c:pt>
                <c:pt idx="89">
                  <c:v>18.599999999999966</c:v>
                </c:pt>
                <c:pt idx="90">
                  <c:v>18.799999999999965</c:v>
                </c:pt>
                <c:pt idx="91">
                  <c:v>18.999999999999964</c:v>
                </c:pt>
                <c:pt idx="92">
                  <c:v>19.199999999999964</c:v>
                </c:pt>
                <c:pt idx="93">
                  <c:v>19.399999999999963</c:v>
                </c:pt>
                <c:pt idx="94">
                  <c:v>19.599999999999962</c:v>
                </c:pt>
                <c:pt idx="95">
                  <c:v>19.799999999999962</c:v>
                </c:pt>
                <c:pt idx="96">
                  <c:v>19.999999999999961</c:v>
                </c:pt>
                <c:pt idx="97">
                  <c:v>20.19999999999996</c:v>
                </c:pt>
                <c:pt idx="98">
                  <c:v>20.399999999999959</c:v>
                </c:pt>
                <c:pt idx="99">
                  <c:v>20.599999999999959</c:v>
                </c:pt>
                <c:pt idx="100">
                  <c:v>20.799999999999958</c:v>
                </c:pt>
                <c:pt idx="101">
                  <c:v>20.999999999999957</c:v>
                </c:pt>
                <c:pt idx="102">
                  <c:v>21.199999999999957</c:v>
                </c:pt>
                <c:pt idx="103">
                  <c:v>21.399999999999956</c:v>
                </c:pt>
                <c:pt idx="104">
                  <c:v>21.599999999999955</c:v>
                </c:pt>
                <c:pt idx="105">
                  <c:v>21.799999999999955</c:v>
                </c:pt>
                <c:pt idx="106">
                  <c:v>21.999999999999954</c:v>
                </c:pt>
                <c:pt idx="107">
                  <c:v>22.199999999999953</c:v>
                </c:pt>
                <c:pt idx="108">
                  <c:v>22.399999999999952</c:v>
                </c:pt>
                <c:pt idx="109">
                  <c:v>22.599999999999952</c:v>
                </c:pt>
                <c:pt idx="110">
                  <c:v>22.799999999999951</c:v>
                </c:pt>
                <c:pt idx="111">
                  <c:v>22.99999999999995</c:v>
                </c:pt>
                <c:pt idx="112">
                  <c:v>23.19999999999995</c:v>
                </c:pt>
                <c:pt idx="113">
                  <c:v>23.399999999999949</c:v>
                </c:pt>
                <c:pt idx="114">
                  <c:v>23.599999999999948</c:v>
                </c:pt>
                <c:pt idx="115">
                  <c:v>23.799999999999947</c:v>
                </c:pt>
                <c:pt idx="116">
                  <c:v>23.999999999999947</c:v>
                </c:pt>
                <c:pt idx="117">
                  <c:v>24.199999999999946</c:v>
                </c:pt>
                <c:pt idx="118">
                  <c:v>24.399999999999945</c:v>
                </c:pt>
                <c:pt idx="119">
                  <c:v>24.599999999999945</c:v>
                </c:pt>
                <c:pt idx="120">
                  <c:v>24.799999999999944</c:v>
                </c:pt>
                <c:pt idx="121">
                  <c:v>24.999999999999943</c:v>
                </c:pt>
                <c:pt idx="122">
                  <c:v>25.199999999999942</c:v>
                </c:pt>
                <c:pt idx="123">
                  <c:v>25.399999999999942</c:v>
                </c:pt>
                <c:pt idx="124">
                  <c:v>25.599999999999941</c:v>
                </c:pt>
                <c:pt idx="125">
                  <c:v>25.79999999999994</c:v>
                </c:pt>
                <c:pt idx="126">
                  <c:v>25.99999999999994</c:v>
                </c:pt>
                <c:pt idx="127">
                  <c:v>26.199999999999939</c:v>
                </c:pt>
                <c:pt idx="128">
                  <c:v>26.399999999999938</c:v>
                </c:pt>
                <c:pt idx="129">
                  <c:v>26.599999999999937</c:v>
                </c:pt>
                <c:pt idx="130">
                  <c:v>26.799999999999937</c:v>
                </c:pt>
                <c:pt idx="131">
                  <c:v>26.999999999999936</c:v>
                </c:pt>
                <c:pt idx="132">
                  <c:v>27.199999999999935</c:v>
                </c:pt>
                <c:pt idx="133">
                  <c:v>27.399999999999935</c:v>
                </c:pt>
                <c:pt idx="134">
                  <c:v>27.599999999999934</c:v>
                </c:pt>
                <c:pt idx="135">
                  <c:v>27.799999999999933</c:v>
                </c:pt>
                <c:pt idx="136">
                  <c:v>27.999999999999932</c:v>
                </c:pt>
                <c:pt idx="137">
                  <c:v>28.199999999999932</c:v>
                </c:pt>
                <c:pt idx="138">
                  <c:v>28.399999999999931</c:v>
                </c:pt>
                <c:pt idx="139">
                  <c:v>28.59999999999993</c:v>
                </c:pt>
                <c:pt idx="140">
                  <c:v>28.79999999999993</c:v>
                </c:pt>
                <c:pt idx="141">
                  <c:v>28.999999999999929</c:v>
                </c:pt>
                <c:pt idx="142">
                  <c:v>29.199999999999928</c:v>
                </c:pt>
                <c:pt idx="143">
                  <c:v>29.399999999999928</c:v>
                </c:pt>
                <c:pt idx="144">
                  <c:v>29.599999999999927</c:v>
                </c:pt>
                <c:pt idx="145">
                  <c:v>29.799999999999926</c:v>
                </c:pt>
                <c:pt idx="146">
                  <c:v>29.999999999999925</c:v>
                </c:pt>
                <c:pt idx="147">
                  <c:v>30.199999999999925</c:v>
                </c:pt>
                <c:pt idx="148">
                  <c:v>30.399999999999924</c:v>
                </c:pt>
                <c:pt idx="149">
                  <c:v>30.599999999999923</c:v>
                </c:pt>
                <c:pt idx="150">
                  <c:v>30.799999999999923</c:v>
                </c:pt>
                <c:pt idx="151">
                  <c:v>30.999999999999922</c:v>
                </c:pt>
                <c:pt idx="152">
                  <c:v>31.199999999999921</c:v>
                </c:pt>
                <c:pt idx="153">
                  <c:v>31.39999999999992</c:v>
                </c:pt>
                <c:pt idx="154">
                  <c:v>31.59999999999992</c:v>
                </c:pt>
                <c:pt idx="155">
                  <c:v>31.799999999999919</c:v>
                </c:pt>
                <c:pt idx="156">
                  <c:v>31.999999999999918</c:v>
                </c:pt>
                <c:pt idx="157">
                  <c:v>32.199999999999918</c:v>
                </c:pt>
                <c:pt idx="158">
                  <c:v>32.39999999999992</c:v>
                </c:pt>
                <c:pt idx="159">
                  <c:v>32.599999999999923</c:v>
                </c:pt>
                <c:pt idx="160">
                  <c:v>32.799999999999926</c:v>
                </c:pt>
                <c:pt idx="161">
                  <c:v>32.999999999999929</c:v>
                </c:pt>
                <c:pt idx="162">
                  <c:v>33.199999999999932</c:v>
                </c:pt>
                <c:pt idx="163">
                  <c:v>33.399999999999935</c:v>
                </c:pt>
                <c:pt idx="164">
                  <c:v>33.599999999999937</c:v>
                </c:pt>
                <c:pt idx="165">
                  <c:v>33.79999999999994</c:v>
                </c:pt>
                <c:pt idx="166">
                  <c:v>33.999999999999943</c:v>
                </c:pt>
                <c:pt idx="167">
                  <c:v>34.199999999999946</c:v>
                </c:pt>
                <c:pt idx="168">
                  <c:v>34.399999999999949</c:v>
                </c:pt>
                <c:pt idx="169">
                  <c:v>34.599999999999952</c:v>
                </c:pt>
                <c:pt idx="170">
                  <c:v>34.799999999999955</c:v>
                </c:pt>
                <c:pt idx="171">
                  <c:v>34.999999999999957</c:v>
                </c:pt>
                <c:pt idx="172">
                  <c:v>35.19999999999996</c:v>
                </c:pt>
                <c:pt idx="173">
                  <c:v>35.399999999999963</c:v>
                </c:pt>
                <c:pt idx="174">
                  <c:v>35.599999999999966</c:v>
                </c:pt>
                <c:pt idx="175">
                  <c:v>35.799999999999969</c:v>
                </c:pt>
                <c:pt idx="176">
                  <c:v>35.999999999999972</c:v>
                </c:pt>
                <c:pt idx="177">
                  <c:v>36.199999999999974</c:v>
                </c:pt>
                <c:pt idx="178">
                  <c:v>36.399999999999977</c:v>
                </c:pt>
                <c:pt idx="179">
                  <c:v>36.59999999999998</c:v>
                </c:pt>
                <c:pt idx="180">
                  <c:v>36.799999999999983</c:v>
                </c:pt>
                <c:pt idx="181">
                  <c:v>36.999999999999986</c:v>
                </c:pt>
                <c:pt idx="182">
                  <c:v>37.199999999999989</c:v>
                </c:pt>
                <c:pt idx="183">
                  <c:v>37.399999999999991</c:v>
                </c:pt>
                <c:pt idx="184">
                  <c:v>37.599999999999994</c:v>
                </c:pt>
                <c:pt idx="185">
                  <c:v>37.799999999999997</c:v>
                </c:pt>
                <c:pt idx="186">
                  <c:v>38</c:v>
                </c:pt>
                <c:pt idx="187">
                  <c:v>38.200000000000003</c:v>
                </c:pt>
                <c:pt idx="188">
                  <c:v>38.400000000000006</c:v>
                </c:pt>
                <c:pt idx="189">
                  <c:v>38.600000000000009</c:v>
                </c:pt>
                <c:pt idx="190">
                  <c:v>38.800000000000011</c:v>
                </c:pt>
                <c:pt idx="191">
                  <c:v>39.000000000000014</c:v>
                </c:pt>
                <c:pt idx="192">
                  <c:v>39.200000000000017</c:v>
                </c:pt>
                <c:pt idx="193">
                  <c:v>39.40000000000002</c:v>
                </c:pt>
                <c:pt idx="194">
                  <c:v>39.600000000000023</c:v>
                </c:pt>
                <c:pt idx="195">
                  <c:v>39.800000000000026</c:v>
                </c:pt>
                <c:pt idx="196">
                  <c:v>40.000000000000028</c:v>
                </c:pt>
                <c:pt idx="197">
                  <c:v>40.200000000000031</c:v>
                </c:pt>
                <c:pt idx="198">
                  <c:v>40.400000000000034</c:v>
                </c:pt>
                <c:pt idx="199">
                  <c:v>40.600000000000037</c:v>
                </c:pt>
                <c:pt idx="200">
                  <c:v>40.80000000000004</c:v>
                </c:pt>
                <c:pt idx="201">
                  <c:v>41.000000000000043</c:v>
                </c:pt>
                <c:pt idx="202">
                  <c:v>41.200000000000045</c:v>
                </c:pt>
                <c:pt idx="203">
                  <c:v>41.400000000000048</c:v>
                </c:pt>
                <c:pt idx="204">
                  <c:v>41.600000000000051</c:v>
                </c:pt>
                <c:pt idx="205">
                  <c:v>41.800000000000054</c:v>
                </c:pt>
                <c:pt idx="206">
                  <c:v>42.000000000000057</c:v>
                </c:pt>
                <c:pt idx="207">
                  <c:v>42.20000000000006</c:v>
                </c:pt>
                <c:pt idx="208">
                  <c:v>42.400000000000063</c:v>
                </c:pt>
                <c:pt idx="209">
                  <c:v>42.600000000000065</c:v>
                </c:pt>
                <c:pt idx="210">
                  <c:v>42.800000000000068</c:v>
                </c:pt>
                <c:pt idx="211">
                  <c:v>43.000000000000071</c:v>
                </c:pt>
                <c:pt idx="212">
                  <c:v>43.200000000000074</c:v>
                </c:pt>
                <c:pt idx="213">
                  <c:v>43.400000000000077</c:v>
                </c:pt>
                <c:pt idx="214">
                  <c:v>43.60000000000008</c:v>
                </c:pt>
                <c:pt idx="215">
                  <c:v>43.800000000000082</c:v>
                </c:pt>
                <c:pt idx="216">
                  <c:v>44.000000000000085</c:v>
                </c:pt>
                <c:pt idx="217">
                  <c:v>44.200000000000088</c:v>
                </c:pt>
                <c:pt idx="218">
                  <c:v>44.400000000000091</c:v>
                </c:pt>
                <c:pt idx="219">
                  <c:v>44.600000000000094</c:v>
                </c:pt>
                <c:pt idx="220">
                  <c:v>44.800000000000097</c:v>
                </c:pt>
                <c:pt idx="221">
                  <c:v>45.000000000000099</c:v>
                </c:pt>
                <c:pt idx="222">
                  <c:v>45.200000000000102</c:v>
                </c:pt>
                <c:pt idx="223">
                  <c:v>45.400000000000105</c:v>
                </c:pt>
                <c:pt idx="224">
                  <c:v>45.600000000000108</c:v>
                </c:pt>
                <c:pt idx="225">
                  <c:v>45.800000000000111</c:v>
                </c:pt>
                <c:pt idx="226">
                  <c:v>46.000000000000114</c:v>
                </c:pt>
                <c:pt idx="227">
                  <c:v>46.200000000000117</c:v>
                </c:pt>
                <c:pt idx="228">
                  <c:v>46.400000000000119</c:v>
                </c:pt>
                <c:pt idx="229">
                  <c:v>46.600000000000122</c:v>
                </c:pt>
                <c:pt idx="230">
                  <c:v>46.800000000000125</c:v>
                </c:pt>
                <c:pt idx="231">
                  <c:v>47.000000000000128</c:v>
                </c:pt>
                <c:pt idx="232">
                  <c:v>47.200000000000131</c:v>
                </c:pt>
                <c:pt idx="233">
                  <c:v>47.400000000000134</c:v>
                </c:pt>
                <c:pt idx="234">
                  <c:v>47.600000000000136</c:v>
                </c:pt>
                <c:pt idx="235">
                  <c:v>47.800000000000139</c:v>
                </c:pt>
                <c:pt idx="236">
                  <c:v>48.000000000000142</c:v>
                </c:pt>
                <c:pt idx="237">
                  <c:v>48.200000000000145</c:v>
                </c:pt>
                <c:pt idx="238">
                  <c:v>48.400000000000148</c:v>
                </c:pt>
                <c:pt idx="239">
                  <c:v>48.600000000000151</c:v>
                </c:pt>
                <c:pt idx="240">
                  <c:v>48.800000000000153</c:v>
                </c:pt>
                <c:pt idx="241">
                  <c:v>49.000000000000156</c:v>
                </c:pt>
                <c:pt idx="242">
                  <c:v>49.200000000000159</c:v>
                </c:pt>
                <c:pt idx="243">
                  <c:v>49.400000000000162</c:v>
                </c:pt>
                <c:pt idx="244">
                  <c:v>49.600000000000165</c:v>
                </c:pt>
                <c:pt idx="245">
                  <c:v>49.800000000000168</c:v>
                </c:pt>
                <c:pt idx="246">
                  <c:v>50.000000000000171</c:v>
                </c:pt>
              </c:numCache>
            </c:numRef>
          </c:xVal>
          <c:yVal>
            <c:numRef>
              <c:f>'Notch Filter Design'!$BA$3:$BA$249</c:f>
              <c:numCache>
                <c:formatCode>General</c:formatCode>
                <c:ptCount val="247"/>
                <c:pt idx="0">
                  <c:v>326.87622726929408</c:v>
                </c:pt>
                <c:pt idx="1">
                  <c:v>266.71386417472723</c:v>
                </c:pt>
                <c:pt idx="2">
                  <c:v>222.8550873031042</c:v>
                </c:pt>
                <c:pt idx="3">
                  <c:v>189.1860521914314</c:v>
                </c:pt>
                <c:pt idx="4">
                  <c:v>162.31017868837569</c:v>
                </c:pt>
                <c:pt idx="5">
                  <c:v>140.18951883156458</c:v>
                </c:pt>
                <c:pt idx="6">
                  <c:v>121.52719680664018</c:v>
                </c:pt>
                <c:pt idx="7">
                  <c:v>105.45862894857571</c:v>
                </c:pt>
                <c:pt idx="8">
                  <c:v>91.38525762201013</c:v>
                </c:pt>
                <c:pt idx="9">
                  <c:v>78.879542063927744</c:v>
                </c:pt>
                <c:pt idx="10">
                  <c:v>67.627952981024194</c:v>
                </c:pt>
                <c:pt idx="11">
                  <c:v>57.395344339306284</c:v>
                </c:pt>
                <c:pt idx="12">
                  <c:v>48.001900141148077</c:v>
                </c:pt>
                <c:pt idx="13">
                  <c:v>39.307766307458976</c:v>
                </c:pt>
                <c:pt idx="14">
                  <c:v>31.202537338255148</c:v>
                </c:pt>
                <c:pt idx="15">
                  <c:v>23.597901787241447</c:v>
                </c:pt>
                <c:pt idx="16">
                  <c:v>16.422406443680423</c:v>
                </c:pt>
                <c:pt idx="17">
                  <c:v>9.6177426435776159</c:v>
                </c:pt>
                <c:pt idx="18">
                  <c:v>3.1373510803186759</c:v>
                </c:pt>
                <c:pt idx="19">
                  <c:v>3.0714499588164905</c:v>
                </c:pt>
                <c:pt idx="20">
                  <c:v>9.021814098149795</c:v>
                </c:pt>
                <c:pt idx="21">
                  <c:v>14.754773827913313</c:v>
                </c:pt>
                <c:pt idx="22">
                  <c:v>20.292943491516453</c:v>
                </c:pt>
                <c:pt idx="23">
                  <c:v>25.657028103152197</c:v>
                </c:pt>
                <c:pt idx="24">
                  <c:v>30.864992915681341</c:v>
                </c:pt>
                <c:pt idx="25">
                  <c:v>35.932433718864935</c:v>
                </c:pt>
                <c:pt idx="26">
                  <c:v>40.872942299067546</c:v>
                </c:pt>
                <c:pt idx="27">
                  <c:v>45.698414802832872</c:v>
                </c:pt>
                <c:pt idx="28">
                  <c:v>50.419306950708702</c:v>
                </c:pt>
                <c:pt idx="29">
                  <c:v>55.044845156904188</c:v>
                </c:pt>
                <c:pt idx="30">
                  <c:v>59.583201815683324</c:v>
                </c:pt>
                <c:pt idx="31">
                  <c:v>64.041641526801911</c:v>
                </c:pt>
                <c:pt idx="32">
                  <c:v>68.426643680590189</c:v>
                </c:pt>
                <c:pt idx="33">
                  <c:v>72.744005723700042</c:v>
                </c:pt>
                <c:pt idx="34">
                  <c:v>76.998930557152605</c:v>
                </c:pt>
                <c:pt idx="35">
                  <c:v>81.196100835547739</c:v>
                </c:pt>
                <c:pt idx="36">
                  <c:v>85.339742399562141</c:v>
                </c:pt>
                <c:pt idx="37">
                  <c:v>89.433678650527852</c:v>
                </c:pt>
                <c:pt idx="38">
                  <c:v>93.481377340275714</c:v>
                </c:pt>
                <c:pt idx="39">
                  <c:v>97.485990982089916</c:v>
                </c:pt>
                <c:pt idx="41">
                  <c:v>101.45039187457543</c:v>
                </c:pt>
                <c:pt idx="42">
                  <c:v>105.37720255786697</c:v>
                </c:pt>
                <c:pt idx="43">
                  <c:v>109.26882238230617</c:v>
                </c:pt>
                <c:pt idx="44">
                  <c:v>113.12745075634878</c:v>
                </c:pt>
                <c:pt idx="45">
                  <c:v>116.95510754803271</c:v>
                </c:pt>
                <c:pt idx="46">
                  <c:v>120.75365103844524</c:v>
                </c:pt>
                <c:pt idx="47">
                  <c:v>124.52479376312634</c:v>
                </c:pt>
                <c:pt idx="48">
                  <c:v>128.27011652572583</c:v>
                </c:pt>
                <c:pt idx="49">
                  <c:v>131.9910808252757</c:v>
                </c:pt>
                <c:pt idx="50">
                  <c:v>135.68903990268842</c:v>
                </c:pt>
                <c:pt idx="51">
                  <c:v>139.36524858225002</c:v>
                </c:pt>
                <c:pt idx="52">
                  <c:v>143.02087205867088</c:v>
                </c:pt>
                <c:pt idx="53">
                  <c:v>146.65699375923359</c:v>
                </c:pt>
                <c:pt idx="54">
                  <c:v>150.27462239261078</c:v>
                </c:pt>
                <c:pt idx="55">
                  <c:v>153.87469828088311</c:v>
                </c:pt>
                <c:pt idx="56">
                  <c:v>157.45809905836484</c:v>
                </c:pt>
                <c:pt idx="57">
                  <c:v>161.02564480988642</c:v>
                </c:pt>
                <c:pt idx="58">
                  <c:v>164.5781027118602</c:v>
                </c:pt>
                <c:pt idx="59">
                  <c:v>168.1161912313043</c:v>
                </c:pt>
                <c:pt idx="60">
                  <c:v>171.64058393125546</c:v>
                </c:pt>
                <c:pt idx="61">
                  <c:v>175.15191292488461</c:v>
                </c:pt>
                <c:pt idx="62">
                  <c:v>178.65077201562659</c:v>
                </c:pt>
                <c:pt idx="63">
                  <c:v>182.13771955609184</c:v>
                </c:pt>
                <c:pt idx="64">
                  <c:v>185.61328105473478</c:v>
                </c:pt>
                <c:pt idx="65">
                  <c:v>189.07795155585026</c:v>
                </c:pt>
                <c:pt idx="66">
                  <c:v>192.53219781557678</c:v>
                </c:pt>
                <c:pt idx="67">
                  <c:v>195.97646029400809</c:v>
                </c:pt>
                <c:pt idx="68">
                  <c:v>199.41115498130003</c:v>
                </c:pt>
                <c:pt idx="69">
                  <c:v>202.83667507368773</c:v>
                </c:pt>
                <c:pt idx="70">
                  <c:v>206.2533925136089</c:v>
                </c:pt>
                <c:pt idx="71">
                  <c:v>209.66165940662182</c:v>
                </c:pt>
                <c:pt idx="72">
                  <c:v>213.06180932645023</c:v>
                </c:pt>
                <c:pt idx="73">
                  <c:v>216.45415851835551</c:v>
                </c:pt>
                <c:pt idx="74">
                  <c:v>219.8390070099228</c:v>
                </c:pt>
                <c:pt idx="75">
                  <c:v>223.21663963750018</c:v>
                </c:pt>
                <c:pt idx="76">
                  <c:v>226.58732699564609</c:v>
                </c:pt>
                <c:pt idx="77">
                  <c:v>229.9513263162456</c:v>
                </c:pt>
                <c:pt idx="78">
                  <c:v>233.30888228331477</c:v>
                </c:pt>
                <c:pt idx="79">
                  <c:v>236.66022778888242</c:v>
                </c:pt>
                <c:pt idx="80">
                  <c:v>240.00558463490214</c:v>
                </c:pt>
                <c:pt idx="81">
                  <c:v>243.34516418560742</c:v>
                </c:pt>
                <c:pt idx="82">
                  <c:v>246.67916797434444</c:v>
                </c:pt>
                <c:pt idx="83">
                  <c:v>250.00778826858146</c:v>
                </c:pt>
                <c:pt idx="84">
                  <c:v>253.33120859636074</c:v>
                </c:pt>
                <c:pt idx="85">
                  <c:v>256.64960423728735</c:v>
                </c:pt>
                <c:pt idx="86">
                  <c:v>259.96314268077492</c:v>
                </c:pt>
                <c:pt idx="87">
                  <c:v>263.2719840540671</c:v>
                </c:pt>
                <c:pt idx="88">
                  <c:v>266.57628152237123</c:v>
                </c:pt>
                <c:pt idx="89">
                  <c:v>269.87618166314206</c:v>
                </c:pt>
                <c:pt idx="90">
                  <c:v>273.17182481651048</c:v>
                </c:pt>
                <c:pt idx="91">
                  <c:v>276.46334541355134</c:v>
                </c:pt>
                <c:pt idx="92">
                  <c:v>279.75087228405238</c:v>
                </c:pt>
                <c:pt idx="93">
                  <c:v>283.03452894524116</c:v>
                </c:pt>
                <c:pt idx="94">
                  <c:v>286.31443387282457</c:v>
                </c:pt>
                <c:pt idx="95">
                  <c:v>289.59070075562192</c:v>
                </c:pt>
                <c:pt idx="96">
                  <c:v>292.86343873490159</c:v>
                </c:pt>
                <c:pt idx="97">
                  <c:v>296.13275262951174</c:v>
                </c:pt>
                <c:pt idx="98">
                  <c:v>299.39874314775989</c:v>
                </c:pt>
                <c:pt idx="99">
                  <c:v>302.66150708695272</c:v>
                </c:pt>
                <c:pt idx="100">
                  <c:v>305.92113752143223</c:v>
                </c:pt>
                <c:pt idx="101">
                  <c:v>309.17772397984828</c:v>
                </c:pt>
                <c:pt idx="102">
                  <c:v>312.43135261241702</c:v>
                </c:pt>
                <c:pt idx="103">
                  <c:v>315.68210634878989</c:v>
                </c:pt>
                <c:pt idx="104">
                  <c:v>318.9300650471468</c:v>
                </c:pt>
                <c:pt idx="105">
                  <c:v>322.17530563509831</c:v>
                </c:pt>
                <c:pt idx="106">
                  <c:v>325.41790224289014</c:v>
                </c:pt>
                <c:pt idx="107">
                  <c:v>328.65792632940713</c:v>
                </c:pt>
                <c:pt idx="108">
                  <c:v>331.89544680143592</c:v>
                </c:pt>
                <c:pt idx="109">
                  <c:v>335.13053012658031</c:v>
                </c:pt>
                <c:pt idx="110">
                  <c:v>338.36324044025872</c:v>
                </c:pt>
                <c:pt idx="111">
                  <c:v>341.59363964708479</c:v>
                </c:pt>
                <c:pt idx="112">
                  <c:v>344.82178751703646</c:v>
                </c:pt>
                <c:pt idx="113">
                  <c:v>348.04774177667412</c:v>
                </c:pt>
                <c:pt idx="114">
                  <c:v>351.27155819572573</c:v>
                </c:pt>
                <c:pt idx="115">
                  <c:v>354.49329066930977</c:v>
                </c:pt>
                <c:pt idx="116">
                  <c:v>357.71299129603881</c:v>
                </c:pt>
                <c:pt idx="117">
                  <c:v>360.9307104522606</c:v>
                </c:pt>
                <c:pt idx="118">
                  <c:v>364.1464968626409</c:v>
                </c:pt>
                <c:pt idx="119">
                  <c:v>367.36039766730102</c:v>
                </c:pt>
                <c:pt idx="120">
                  <c:v>370.57245848571807</c:v>
                </c:pt>
                <c:pt idx="121">
                  <c:v>373.78272347754182</c:v>
                </c:pt>
                <c:pt idx="122">
                  <c:v>376.99123540053392</c:v>
                </c:pt>
                <c:pt idx="123">
                  <c:v>380.1980356657545</c:v>
                </c:pt>
                <c:pt idx="124">
                  <c:v>383.40316439016584</c:v>
                </c:pt>
                <c:pt idx="125">
                  <c:v>386.60666044679732</c:v>
                </c:pt>
                <c:pt idx="126">
                  <c:v>389.80856151258206</c:v>
                </c:pt>
                <c:pt idx="127">
                  <c:v>393.00890411401679</c:v>
                </c:pt>
                <c:pt idx="128">
                  <c:v>396.20772367073397</c:v>
                </c:pt>
                <c:pt idx="129">
                  <c:v>399.40505453711381</c:v>
                </c:pt>
                <c:pt idx="130">
                  <c:v>402.60093004203429</c:v>
                </c:pt>
                <c:pt idx="131">
                  <c:v>405.79538252684756</c:v>
                </c:pt>
                <c:pt idx="132">
                  <c:v>408.98844338169528</c:v>
                </c:pt>
                <c:pt idx="133">
                  <c:v>412.18014308021844</c:v>
                </c:pt>
                <c:pt idx="134">
                  <c:v>415.37051121275971</c:v>
                </c:pt>
                <c:pt idx="135">
                  <c:v>418.55957651814589</c:v>
                </c:pt>
                <c:pt idx="136">
                  <c:v>421.74736691409254</c:v>
                </c:pt>
                <c:pt idx="137">
                  <c:v>424.93390952632478</c:v>
                </c:pt>
                <c:pt idx="138">
                  <c:v>428.11923071646351</c:v>
                </c:pt>
                <c:pt idx="139">
                  <c:v>431.30335610873993</c:v>
                </c:pt>
                <c:pt idx="140">
                  <c:v>434.4863106156036</c:v>
                </c:pt>
                <c:pt idx="141">
                  <c:v>437.66811846226256</c:v>
                </c:pt>
                <c:pt idx="142">
                  <c:v>440.84880321021961</c:v>
                </c:pt>
                <c:pt idx="143">
                  <c:v>444.02838777985534</c:v>
                </c:pt>
                <c:pt idx="144">
                  <c:v>447.20689447207053</c:v>
                </c:pt>
                <c:pt idx="145">
                  <c:v>450.38434498909277</c:v>
                </c:pt>
                <c:pt idx="146">
                  <c:v>453.56076045441756</c:v>
                </c:pt>
                <c:pt idx="147">
                  <c:v>456.73616143198518</c:v>
                </c:pt>
                <c:pt idx="148">
                  <c:v>459.91056794457188</c:v>
                </c:pt>
                <c:pt idx="149">
                  <c:v>463.08399949148406</c:v>
                </c:pt>
                <c:pt idx="150">
                  <c:v>466.25647506556049</c:v>
                </c:pt>
                <c:pt idx="151">
                  <c:v>469.4280131694926</c:v>
                </c:pt>
                <c:pt idx="152">
                  <c:v>472.59863183155011</c:v>
                </c:pt>
                <c:pt idx="153">
                  <c:v>475.7683486206825</c:v>
                </c:pt>
                <c:pt idx="154">
                  <c:v>478.93718066105333</c:v>
                </c:pt>
                <c:pt idx="155">
                  <c:v>482.10514464603284</c:v>
                </c:pt>
                <c:pt idx="156">
                  <c:v>485.2722568516553</c:v>
                </c:pt>
                <c:pt idx="157">
                  <c:v>488.43853314958318</c:v>
                </c:pt>
                <c:pt idx="158">
                  <c:v>491.60398901958541</c:v>
                </c:pt>
                <c:pt idx="159">
                  <c:v>494.76863956155808</c:v>
                </c:pt>
                <c:pt idx="160">
                  <c:v>497.9324995071089</c:v>
                </c:pt>
                <c:pt idx="161">
                  <c:v>501.09558323071531</c:v>
                </c:pt>
                <c:pt idx="162">
                  <c:v>504.25790476048252</c:v>
                </c:pt>
                <c:pt idx="163">
                  <c:v>507.41947778851079</c:v>
                </c:pt>
                <c:pt idx="164">
                  <c:v>510.58031568090234</c:v>
                </c:pt>
                <c:pt idx="165">
                  <c:v>513.74043148739827</c:v>
                </c:pt>
                <c:pt idx="166">
                  <c:v>516.8998379506877</c:v>
                </c:pt>
                <c:pt idx="167">
                  <c:v>520.05854751538675</c:v>
                </c:pt>
                <c:pt idx="168">
                  <c:v>523.21657233670112</c:v>
                </c:pt>
                <c:pt idx="169">
                  <c:v>526.37392428879264</c:v>
                </c:pt>
                <c:pt idx="170">
                  <c:v>529.53061497284853</c:v>
                </c:pt>
                <c:pt idx="171">
                  <c:v>532.68665572489556</c:v>
                </c:pt>
                <c:pt idx="172">
                  <c:v>535.84205762331317</c:v>
                </c:pt>
                <c:pt idx="173">
                  <c:v>538.99683149613156</c:v>
                </c:pt>
                <c:pt idx="174">
                  <c:v>542.15098792804713</c:v>
                </c:pt>
                <c:pt idx="175">
                  <c:v>545.30453726722999</c:v>
                </c:pt>
                <c:pt idx="176">
                  <c:v>548.45748963189101</c:v>
                </c:pt>
                <c:pt idx="177">
                  <c:v>551.60985491663348</c:v>
                </c:pt>
                <c:pt idx="178">
                  <c:v>554.7616427985979</c:v>
                </c:pt>
                <c:pt idx="179">
                  <c:v>557.91286274340177</c:v>
                </c:pt>
                <c:pt idx="180">
                  <c:v>561.06352401088748</c:v>
                </c:pt>
                <c:pt idx="181">
                  <c:v>564.2136356606868</c:v>
                </c:pt>
                <c:pt idx="182">
                  <c:v>567.36320655760028</c:v>
                </c:pt>
                <c:pt idx="183">
                  <c:v>570.51224537680491</c:v>
                </c:pt>
                <c:pt idx="184">
                  <c:v>573.66076060890327</c:v>
                </c:pt>
                <c:pt idx="185">
                  <c:v>576.80876056479747</c:v>
                </c:pt>
                <c:pt idx="186">
                  <c:v>579.95625338043078</c:v>
                </c:pt>
                <c:pt idx="187">
                  <c:v>583.10324702135131</c:v>
                </c:pt>
                <c:pt idx="188">
                  <c:v>586.24974928716472</c:v>
                </c:pt>
                <c:pt idx="189">
                  <c:v>589.3957678158248</c:v>
                </c:pt>
                <c:pt idx="190">
                  <c:v>592.54131008780087</c:v>
                </c:pt>
                <c:pt idx="191">
                  <c:v>595.68638343011901</c:v>
                </c:pt>
                <c:pt idx="192">
                  <c:v>598.83099502027505</c:v>
                </c:pt>
                <c:pt idx="193">
                  <c:v>601.97515189002092</c:v>
                </c:pt>
                <c:pt idx="194">
                  <c:v>605.11886092906366</c:v>
                </c:pt>
                <c:pt idx="195">
                  <c:v>608.26212888861846</c:v>
                </c:pt>
                <c:pt idx="196">
                  <c:v>611.40496238487447</c:v>
                </c:pt>
                <c:pt idx="197">
                  <c:v>614.54736790236063</c:v>
                </c:pt>
                <c:pt idx="198">
                  <c:v>617.68935179719233</c:v>
                </c:pt>
                <c:pt idx="199">
                  <c:v>620.8309203002508</c:v>
                </c:pt>
                <c:pt idx="200">
                  <c:v>623.9720795202328</c:v>
                </c:pt>
                <c:pt idx="201">
                  <c:v>627.11283544664821</c:v>
                </c:pt>
                <c:pt idx="202">
                  <c:v>630.25319395270276</c:v>
                </c:pt>
                <c:pt idx="203">
                  <c:v>633.39316079811442</c:v>
                </c:pt>
                <c:pt idx="204">
                  <c:v>636.53274163182903</c:v>
                </c:pt>
                <c:pt idx="205">
                  <c:v>639.67194199468611</c:v>
                </c:pt>
                <c:pt idx="206">
                  <c:v>642.81076732198278</c:v>
                </c:pt>
                <c:pt idx="207">
                  <c:v>645.9492229459762</c:v>
                </c:pt>
                <c:pt idx="208">
                  <c:v>649.0873140983191</c:v>
                </c:pt>
                <c:pt idx="209">
                  <c:v>652.22504591241159</c:v>
                </c:pt>
                <c:pt idx="210">
                  <c:v>655.36242342570722</c:v>
                </c:pt>
                <c:pt idx="211">
                  <c:v>658.49945158193486</c:v>
                </c:pt>
                <c:pt idx="212">
                  <c:v>661.63613523328002</c:v>
                </c:pt>
                <c:pt idx="213">
                  <c:v>664.77247914247732</c:v>
                </c:pt>
                <c:pt idx="214">
                  <c:v>667.90848798488025</c:v>
                </c:pt>
                <c:pt idx="215">
                  <c:v>671.04416635044197</c:v>
                </c:pt>
                <c:pt idx="216">
                  <c:v>674.17951874566586</c:v>
                </c:pt>
                <c:pt idx="217">
                  <c:v>677.31454959548682</c:v>
                </c:pt>
                <c:pt idx="218">
                  <c:v>680.44926324511391</c:v>
                </c:pt>
                <c:pt idx="219">
                  <c:v>683.58366396181452</c:v>
                </c:pt>
                <c:pt idx="220">
                  <c:v>686.71775593665257</c:v>
                </c:pt>
                <c:pt idx="221">
                  <c:v>689.85154328618603</c:v>
                </c:pt>
                <c:pt idx="222">
                  <c:v>692.98503005411249</c:v>
                </c:pt>
                <c:pt idx="223">
                  <c:v>696.1182202128789</c:v>
                </c:pt>
                <c:pt idx="224">
                  <c:v>699.25111766523275</c:v>
                </c:pt>
                <c:pt idx="225">
                  <c:v>702.38372624575686</c:v>
                </c:pt>
                <c:pt idx="226">
                  <c:v>705.51604972234543</c:v>
                </c:pt>
                <c:pt idx="227">
                  <c:v>708.64809179764654</c:v>
                </c:pt>
                <c:pt idx="228">
                  <c:v>711.77985611046836</c:v>
                </c:pt>
                <c:pt idx="229">
                  <c:v>714.91134623715197</c:v>
                </c:pt>
                <c:pt idx="230">
                  <c:v>718.04256569290317</c:v>
                </c:pt>
                <c:pt idx="231">
                  <c:v>721.17351793309592</c:v>
                </c:pt>
                <c:pt idx="232">
                  <c:v>724.30420635453902</c:v>
                </c:pt>
                <c:pt idx="233">
                  <c:v>727.43463429670771</c:v>
                </c:pt>
                <c:pt idx="234">
                  <c:v>730.56480504295541</c:v>
                </c:pt>
                <c:pt idx="235">
                  <c:v>733.69472182168238</c:v>
                </c:pt>
                <c:pt idx="236">
                  <c:v>736.82438780748157</c:v>
                </c:pt>
                <c:pt idx="237">
                  <c:v>739.95380612225597</c:v>
                </c:pt>
                <c:pt idx="238">
                  <c:v>743.08297983630928</c:v>
                </c:pt>
                <c:pt idx="239">
                  <c:v>746.21191196940083</c:v>
                </c:pt>
                <c:pt idx="240">
                  <c:v>749.34060549178912</c:v>
                </c:pt>
                <c:pt idx="241">
                  <c:v>752.46906332523702</c:v>
                </c:pt>
                <c:pt idx="242">
                  <c:v>755.59728834400141</c:v>
                </c:pt>
                <c:pt idx="243">
                  <c:v>758.72528337578945</c:v>
                </c:pt>
                <c:pt idx="244">
                  <c:v>761.85305120270095</c:v>
                </c:pt>
                <c:pt idx="245">
                  <c:v>764.98059456214401</c:v>
                </c:pt>
                <c:pt idx="246">
                  <c:v>768.10791614772722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36C-4647-BD55-9EBC70D76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245120"/>
        <c:axId val="144247424"/>
      </c:scatterChart>
      <c:valAx>
        <c:axId val="144245120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sz="1600" b="0"/>
                </a:pPr>
                <a:r>
                  <a:rPr lang="en-US" sz="1600" b="0"/>
                  <a:t>Harmonic #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247424"/>
        <c:crosses val="autoZero"/>
        <c:crossBetween val="midCat"/>
        <c:majorUnit val="5"/>
        <c:minorUnit val="1"/>
      </c:valAx>
      <c:valAx>
        <c:axId val="1442474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600" b="0"/>
                </a:pPr>
                <a:r>
                  <a:rPr lang="en-US" sz="1600" b="0"/>
                  <a:t>Filter Impedance (ohms)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424512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Filter Impedance Vs.</a:t>
            </a:r>
            <a:r>
              <a:rPr lang="en-US" baseline="0"/>
              <a:t> Harmonic Number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6266185476815402E-2"/>
          <c:y val="7.4548702245552642E-2"/>
          <c:w val="0.85094219595979592"/>
          <c:h val="0.8326195683872849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'High-Pass Filter Design'!$AZ$3:$AZ$249</c:f>
              <c:numCache>
                <c:formatCode>General</c:formatCode>
                <c:ptCount val="247"/>
                <c:pt idx="0">
                  <c:v>1</c:v>
                </c:pt>
                <c:pt idx="1">
                  <c:v>1.2</c:v>
                </c:pt>
                <c:pt idx="2">
                  <c:v>1.4</c:v>
                </c:pt>
                <c:pt idx="3">
                  <c:v>1.5999999999999999</c:v>
                </c:pt>
                <c:pt idx="4">
                  <c:v>1.7999999999999998</c:v>
                </c:pt>
                <c:pt idx="5">
                  <c:v>1.9999999999999998</c:v>
                </c:pt>
                <c:pt idx="6">
                  <c:v>2.1999999999999997</c:v>
                </c:pt>
                <c:pt idx="7">
                  <c:v>2.4</c:v>
                </c:pt>
                <c:pt idx="8">
                  <c:v>2.6</c:v>
                </c:pt>
                <c:pt idx="9">
                  <c:v>2.8000000000000003</c:v>
                </c:pt>
                <c:pt idx="10">
                  <c:v>3.0000000000000004</c:v>
                </c:pt>
                <c:pt idx="11">
                  <c:v>3.2000000000000006</c:v>
                </c:pt>
                <c:pt idx="12">
                  <c:v>3.4000000000000008</c:v>
                </c:pt>
                <c:pt idx="13">
                  <c:v>3.600000000000001</c:v>
                </c:pt>
                <c:pt idx="14">
                  <c:v>3.8000000000000012</c:v>
                </c:pt>
                <c:pt idx="15">
                  <c:v>4.0000000000000009</c:v>
                </c:pt>
                <c:pt idx="16">
                  <c:v>4.2000000000000011</c:v>
                </c:pt>
                <c:pt idx="17">
                  <c:v>4.4000000000000012</c:v>
                </c:pt>
                <c:pt idx="18">
                  <c:v>4.6000000000000014</c:v>
                </c:pt>
                <c:pt idx="19">
                  <c:v>4.8000000000000016</c:v>
                </c:pt>
                <c:pt idx="20">
                  <c:v>5.0000000000000018</c:v>
                </c:pt>
                <c:pt idx="21">
                  <c:v>5.200000000000002</c:v>
                </c:pt>
                <c:pt idx="22">
                  <c:v>5.4000000000000021</c:v>
                </c:pt>
                <c:pt idx="23">
                  <c:v>5.6000000000000023</c:v>
                </c:pt>
                <c:pt idx="24">
                  <c:v>5.8000000000000025</c:v>
                </c:pt>
                <c:pt idx="25">
                  <c:v>6.0000000000000027</c:v>
                </c:pt>
                <c:pt idx="26">
                  <c:v>6.2000000000000028</c:v>
                </c:pt>
                <c:pt idx="27">
                  <c:v>6.400000000000003</c:v>
                </c:pt>
                <c:pt idx="28">
                  <c:v>6.6000000000000032</c:v>
                </c:pt>
                <c:pt idx="29">
                  <c:v>6.8000000000000034</c:v>
                </c:pt>
                <c:pt idx="30">
                  <c:v>7.0000000000000036</c:v>
                </c:pt>
                <c:pt idx="31">
                  <c:v>7.2000000000000037</c:v>
                </c:pt>
                <c:pt idx="32">
                  <c:v>7.4000000000000039</c:v>
                </c:pt>
                <c:pt idx="33">
                  <c:v>7.6000000000000041</c:v>
                </c:pt>
                <c:pt idx="34">
                  <c:v>7.8000000000000043</c:v>
                </c:pt>
                <c:pt idx="35">
                  <c:v>8.0000000000000036</c:v>
                </c:pt>
                <c:pt idx="36">
                  <c:v>8.2000000000000028</c:v>
                </c:pt>
                <c:pt idx="37">
                  <c:v>8.4000000000000021</c:v>
                </c:pt>
                <c:pt idx="38">
                  <c:v>8.6000000000000014</c:v>
                </c:pt>
                <c:pt idx="39">
                  <c:v>8.8000000000000007</c:v>
                </c:pt>
                <c:pt idx="41">
                  <c:v>9</c:v>
                </c:pt>
                <c:pt idx="42">
                  <c:v>9.1999999999999993</c:v>
                </c:pt>
                <c:pt idx="43">
                  <c:v>9.3999999999999986</c:v>
                </c:pt>
                <c:pt idx="44">
                  <c:v>9.5999999999999979</c:v>
                </c:pt>
                <c:pt idx="45">
                  <c:v>9.7999999999999972</c:v>
                </c:pt>
                <c:pt idx="46">
                  <c:v>9.9999999999999964</c:v>
                </c:pt>
                <c:pt idx="47">
                  <c:v>10.199999999999996</c:v>
                </c:pt>
                <c:pt idx="48">
                  <c:v>10.399999999999995</c:v>
                </c:pt>
                <c:pt idx="49">
                  <c:v>10.599999999999994</c:v>
                </c:pt>
                <c:pt idx="50">
                  <c:v>10.799999999999994</c:v>
                </c:pt>
                <c:pt idx="51">
                  <c:v>10.999999999999993</c:v>
                </c:pt>
                <c:pt idx="52">
                  <c:v>11.199999999999992</c:v>
                </c:pt>
                <c:pt idx="53">
                  <c:v>11.399999999999991</c:v>
                </c:pt>
                <c:pt idx="54">
                  <c:v>11.599999999999991</c:v>
                </c:pt>
                <c:pt idx="55">
                  <c:v>11.79999999999999</c:v>
                </c:pt>
                <c:pt idx="56">
                  <c:v>11.999999999999989</c:v>
                </c:pt>
                <c:pt idx="57">
                  <c:v>12.199999999999989</c:v>
                </c:pt>
                <c:pt idx="58">
                  <c:v>12.399999999999988</c:v>
                </c:pt>
                <c:pt idx="59">
                  <c:v>12.599999999999987</c:v>
                </c:pt>
                <c:pt idx="60">
                  <c:v>12.799999999999986</c:v>
                </c:pt>
                <c:pt idx="61">
                  <c:v>12.999999999999986</c:v>
                </c:pt>
                <c:pt idx="62">
                  <c:v>13.199999999999985</c:v>
                </c:pt>
                <c:pt idx="63">
                  <c:v>13.399999999999984</c:v>
                </c:pt>
                <c:pt idx="64">
                  <c:v>13.599999999999984</c:v>
                </c:pt>
                <c:pt idx="65">
                  <c:v>13.799999999999983</c:v>
                </c:pt>
                <c:pt idx="66">
                  <c:v>13.999999999999982</c:v>
                </c:pt>
                <c:pt idx="67">
                  <c:v>14.199999999999982</c:v>
                </c:pt>
                <c:pt idx="68">
                  <c:v>14.399999999999981</c:v>
                </c:pt>
                <c:pt idx="69">
                  <c:v>14.59999999999998</c:v>
                </c:pt>
                <c:pt idx="70">
                  <c:v>14.799999999999979</c:v>
                </c:pt>
                <c:pt idx="71">
                  <c:v>14.999999999999979</c:v>
                </c:pt>
                <c:pt idx="72">
                  <c:v>15.199999999999978</c:v>
                </c:pt>
                <c:pt idx="73">
                  <c:v>15.399999999999977</c:v>
                </c:pt>
                <c:pt idx="74">
                  <c:v>15.599999999999977</c:v>
                </c:pt>
                <c:pt idx="75">
                  <c:v>15.799999999999976</c:v>
                </c:pt>
                <c:pt idx="76">
                  <c:v>15.999999999999975</c:v>
                </c:pt>
                <c:pt idx="77">
                  <c:v>16.199999999999974</c:v>
                </c:pt>
                <c:pt idx="78">
                  <c:v>16.399999999999974</c:v>
                </c:pt>
                <c:pt idx="79">
                  <c:v>16.599999999999973</c:v>
                </c:pt>
                <c:pt idx="80">
                  <c:v>16.799999999999972</c:v>
                </c:pt>
                <c:pt idx="81">
                  <c:v>16.999999999999972</c:v>
                </c:pt>
                <c:pt idx="82">
                  <c:v>17.199999999999971</c:v>
                </c:pt>
                <c:pt idx="83">
                  <c:v>17.39999999999997</c:v>
                </c:pt>
                <c:pt idx="84">
                  <c:v>17.599999999999969</c:v>
                </c:pt>
                <c:pt idx="85">
                  <c:v>17.799999999999969</c:v>
                </c:pt>
                <c:pt idx="86">
                  <c:v>17.999999999999968</c:v>
                </c:pt>
                <c:pt idx="87">
                  <c:v>18.199999999999967</c:v>
                </c:pt>
                <c:pt idx="88">
                  <c:v>18.399999999999967</c:v>
                </c:pt>
                <c:pt idx="89">
                  <c:v>18.599999999999966</c:v>
                </c:pt>
                <c:pt idx="90">
                  <c:v>18.799999999999965</c:v>
                </c:pt>
                <c:pt idx="91">
                  <c:v>18.999999999999964</c:v>
                </c:pt>
                <c:pt idx="92">
                  <c:v>19.199999999999964</c:v>
                </c:pt>
                <c:pt idx="93">
                  <c:v>19.399999999999963</c:v>
                </c:pt>
                <c:pt idx="94">
                  <c:v>19.599999999999962</c:v>
                </c:pt>
                <c:pt idx="95">
                  <c:v>19.799999999999962</c:v>
                </c:pt>
                <c:pt idx="96">
                  <c:v>19.999999999999961</c:v>
                </c:pt>
                <c:pt idx="97">
                  <c:v>20.19999999999996</c:v>
                </c:pt>
                <c:pt idx="98">
                  <c:v>20.399999999999959</c:v>
                </c:pt>
                <c:pt idx="99">
                  <c:v>20.599999999999959</c:v>
                </c:pt>
                <c:pt idx="100">
                  <c:v>20.799999999999958</c:v>
                </c:pt>
                <c:pt idx="101">
                  <c:v>20.999999999999957</c:v>
                </c:pt>
                <c:pt idx="102">
                  <c:v>21.199999999999957</c:v>
                </c:pt>
                <c:pt idx="103">
                  <c:v>21.399999999999956</c:v>
                </c:pt>
                <c:pt idx="104">
                  <c:v>21.599999999999955</c:v>
                </c:pt>
                <c:pt idx="105">
                  <c:v>21.799999999999955</c:v>
                </c:pt>
                <c:pt idx="106">
                  <c:v>21.999999999999954</c:v>
                </c:pt>
                <c:pt idx="107">
                  <c:v>22.199999999999953</c:v>
                </c:pt>
                <c:pt idx="108">
                  <c:v>22.399999999999952</c:v>
                </c:pt>
                <c:pt idx="109">
                  <c:v>22.599999999999952</c:v>
                </c:pt>
                <c:pt idx="110">
                  <c:v>22.799999999999951</c:v>
                </c:pt>
                <c:pt idx="111">
                  <c:v>22.99999999999995</c:v>
                </c:pt>
                <c:pt idx="112">
                  <c:v>23.19999999999995</c:v>
                </c:pt>
                <c:pt idx="113">
                  <c:v>23.399999999999949</c:v>
                </c:pt>
                <c:pt idx="114">
                  <c:v>23.599999999999948</c:v>
                </c:pt>
                <c:pt idx="115">
                  <c:v>23.799999999999947</c:v>
                </c:pt>
                <c:pt idx="116">
                  <c:v>23.999999999999947</c:v>
                </c:pt>
                <c:pt idx="117">
                  <c:v>24.199999999999946</c:v>
                </c:pt>
                <c:pt idx="118">
                  <c:v>24.399999999999945</c:v>
                </c:pt>
                <c:pt idx="119">
                  <c:v>24.599999999999945</c:v>
                </c:pt>
                <c:pt idx="120">
                  <c:v>24.799999999999944</c:v>
                </c:pt>
                <c:pt idx="121">
                  <c:v>24.999999999999943</c:v>
                </c:pt>
                <c:pt idx="122">
                  <c:v>25.199999999999942</c:v>
                </c:pt>
                <c:pt idx="123">
                  <c:v>25.399999999999942</c:v>
                </c:pt>
                <c:pt idx="124">
                  <c:v>25.599999999999941</c:v>
                </c:pt>
                <c:pt idx="125">
                  <c:v>25.79999999999994</c:v>
                </c:pt>
                <c:pt idx="126">
                  <c:v>25.99999999999994</c:v>
                </c:pt>
                <c:pt idx="127">
                  <c:v>26.199999999999939</c:v>
                </c:pt>
                <c:pt idx="128">
                  <c:v>26.399999999999938</c:v>
                </c:pt>
                <c:pt idx="129">
                  <c:v>26.599999999999937</c:v>
                </c:pt>
                <c:pt idx="130">
                  <c:v>26.799999999999937</c:v>
                </c:pt>
                <c:pt idx="131">
                  <c:v>26.999999999999936</c:v>
                </c:pt>
                <c:pt idx="132">
                  <c:v>27.199999999999935</c:v>
                </c:pt>
                <c:pt idx="133">
                  <c:v>27.399999999999935</c:v>
                </c:pt>
                <c:pt idx="134">
                  <c:v>27.599999999999934</c:v>
                </c:pt>
                <c:pt idx="135">
                  <c:v>27.799999999999933</c:v>
                </c:pt>
                <c:pt idx="136">
                  <c:v>27.999999999999932</c:v>
                </c:pt>
                <c:pt idx="137">
                  <c:v>28.199999999999932</c:v>
                </c:pt>
                <c:pt idx="138">
                  <c:v>28.399999999999931</c:v>
                </c:pt>
                <c:pt idx="139">
                  <c:v>28.59999999999993</c:v>
                </c:pt>
                <c:pt idx="140">
                  <c:v>28.79999999999993</c:v>
                </c:pt>
                <c:pt idx="141">
                  <c:v>28.999999999999929</c:v>
                </c:pt>
                <c:pt idx="142">
                  <c:v>29.199999999999928</c:v>
                </c:pt>
                <c:pt idx="143">
                  <c:v>29.399999999999928</c:v>
                </c:pt>
                <c:pt idx="144">
                  <c:v>29.599999999999927</c:v>
                </c:pt>
                <c:pt idx="145">
                  <c:v>29.799999999999926</c:v>
                </c:pt>
                <c:pt idx="146">
                  <c:v>29.999999999999925</c:v>
                </c:pt>
                <c:pt idx="147">
                  <c:v>30.199999999999925</c:v>
                </c:pt>
                <c:pt idx="148">
                  <c:v>30.399999999999924</c:v>
                </c:pt>
                <c:pt idx="149">
                  <c:v>30.599999999999923</c:v>
                </c:pt>
                <c:pt idx="150">
                  <c:v>30.799999999999923</c:v>
                </c:pt>
                <c:pt idx="151">
                  <c:v>30.999999999999922</c:v>
                </c:pt>
                <c:pt idx="152">
                  <c:v>31.199999999999921</c:v>
                </c:pt>
                <c:pt idx="153">
                  <c:v>31.39999999999992</c:v>
                </c:pt>
                <c:pt idx="154">
                  <c:v>31.59999999999992</c:v>
                </c:pt>
                <c:pt idx="155">
                  <c:v>31.799999999999919</c:v>
                </c:pt>
                <c:pt idx="156">
                  <c:v>31.999999999999918</c:v>
                </c:pt>
                <c:pt idx="157">
                  <c:v>32.199999999999918</c:v>
                </c:pt>
                <c:pt idx="158">
                  <c:v>32.39999999999992</c:v>
                </c:pt>
                <c:pt idx="159">
                  <c:v>32.599999999999923</c:v>
                </c:pt>
                <c:pt idx="160">
                  <c:v>32.799999999999926</c:v>
                </c:pt>
                <c:pt idx="161">
                  <c:v>32.999999999999929</c:v>
                </c:pt>
                <c:pt idx="162">
                  <c:v>33.199999999999932</c:v>
                </c:pt>
                <c:pt idx="163">
                  <c:v>33.399999999999935</c:v>
                </c:pt>
                <c:pt idx="164">
                  <c:v>33.599999999999937</c:v>
                </c:pt>
                <c:pt idx="165">
                  <c:v>33.79999999999994</c:v>
                </c:pt>
                <c:pt idx="166">
                  <c:v>33.999999999999943</c:v>
                </c:pt>
                <c:pt idx="167">
                  <c:v>34.199999999999946</c:v>
                </c:pt>
                <c:pt idx="168">
                  <c:v>34.399999999999949</c:v>
                </c:pt>
                <c:pt idx="169">
                  <c:v>34.599999999999952</c:v>
                </c:pt>
                <c:pt idx="170">
                  <c:v>34.799999999999955</c:v>
                </c:pt>
                <c:pt idx="171">
                  <c:v>34.999999999999957</c:v>
                </c:pt>
                <c:pt idx="172">
                  <c:v>35.19999999999996</c:v>
                </c:pt>
                <c:pt idx="173">
                  <c:v>35.399999999999963</c:v>
                </c:pt>
                <c:pt idx="174">
                  <c:v>35.599999999999966</c:v>
                </c:pt>
                <c:pt idx="175">
                  <c:v>35.799999999999969</c:v>
                </c:pt>
                <c:pt idx="176">
                  <c:v>35.999999999999972</c:v>
                </c:pt>
                <c:pt idx="177">
                  <c:v>36.199999999999974</c:v>
                </c:pt>
                <c:pt idx="178">
                  <c:v>36.399999999999977</c:v>
                </c:pt>
                <c:pt idx="179">
                  <c:v>36.59999999999998</c:v>
                </c:pt>
                <c:pt idx="180">
                  <c:v>36.799999999999983</c:v>
                </c:pt>
                <c:pt idx="181">
                  <c:v>36.999999999999986</c:v>
                </c:pt>
                <c:pt idx="182">
                  <c:v>37.199999999999989</c:v>
                </c:pt>
                <c:pt idx="183">
                  <c:v>37.399999999999991</c:v>
                </c:pt>
                <c:pt idx="184">
                  <c:v>37.599999999999994</c:v>
                </c:pt>
                <c:pt idx="185">
                  <c:v>37.799999999999997</c:v>
                </c:pt>
                <c:pt idx="186">
                  <c:v>38</c:v>
                </c:pt>
                <c:pt idx="187">
                  <c:v>38.200000000000003</c:v>
                </c:pt>
                <c:pt idx="188">
                  <c:v>38.400000000000006</c:v>
                </c:pt>
                <c:pt idx="189">
                  <c:v>38.600000000000009</c:v>
                </c:pt>
                <c:pt idx="190">
                  <c:v>38.800000000000011</c:v>
                </c:pt>
                <c:pt idx="191">
                  <c:v>39.000000000000014</c:v>
                </c:pt>
                <c:pt idx="192">
                  <c:v>39.200000000000017</c:v>
                </c:pt>
                <c:pt idx="193">
                  <c:v>39.40000000000002</c:v>
                </c:pt>
                <c:pt idx="194">
                  <c:v>39.600000000000023</c:v>
                </c:pt>
                <c:pt idx="195">
                  <c:v>39.800000000000026</c:v>
                </c:pt>
                <c:pt idx="196">
                  <c:v>40.000000000000028</c:v>
                </c:pt>
                <c:pt idx="197">
                  <c:v>40.200000000000031</c:v>
                </c:pt>
                <c:pt idx="198">
                  <c:v>40.400000000000034</c:v>
                </c:pt>
                <c:pt idx="199">
                  <c:v>40.600000000000037</c:v>
                </c:pt>
                <c:pt idx="200">
                  <c:v>40.80000000000004</c:v>
                </c:pt>
                <c:pt idx="201">
                  <c:v>41.000000000000043</c:v>
                </c:pt>
                <c:pt idx="202">
                  <c:v>41.200000000000045</c:v>
                </c:pt>
                <c:pt idx="203">
                  <c:v>41.400000000000048</c:v>
                </c:pt>
                <c:pt idx="204">
                  <c:v>41.600000000000051</c:v>
                </c:pt>
                <c:pt idx="205">
                  <c:v>41.800000000000054</c:v>
                </c:pt>
                <c:pt idx="206">
                  <c:v>42.000000000000057</c:v>
                </c:pt>
                <c:pt idx="207">
                  <c:v>42.20000000000006</c:v>
                </c:pt>
                <c:pt idx="208">
                  <c:v>42.400000000000063</c:v>
                </c:pt>
                <c:pt idx="209">
                  <c:v>42.600000000000065</c:v>
                </c:pt>
                <c:pt idx="210">
                  <c:v>42.800000000000068</c:v>
                </c:pt>
                <c:pt idx="211">
                  <c:v>43.000000000000071</c:v>
                </c:pt>
                <c:pt idx="212">
                  <c:v>43.200000000000074</c:v>
                </c:pt>
                <c:pt idx="213">
                  <c:v>43.400000000000077</c:v>
                </c:pt>
                <c:pt idx="214">
                  <c:v>43.60000000000008</c:v>
                </c:pt>
                <c:pt idx="215">
                  <c:v>43.800000000000082</c:v>
                </c:pt>
                <c:pt idx="216">
                  <c:v>44.000000000000085</c:v>
                </c:pt>
                <c:pt idx="217">
                  <c:v>44.200000000000088</c:v>
                </c:pt>
                <c:pt idx="218">
                  <c:v>44.400000000000091</c:v>
                </c:pt>
                <c:pt idx="219">
                  <c:v>44.600000000000094</c:v>
                </c:pt>
                <c:pt idx="220">
                  <c:v>44.800000000000097</c:v>
                </c:pt>
                <c:pt idx="221">
                  <c:v>45.000000000000099</c:v>
                </c:pt>
                <c:pt idx="222">
                  <c:v>45.200000000000102</c:v>
                </c:pt>
                <c:pt idx="223">
                  <c:v>45.400000000000105</c:v>
                </c:pt>
                <c:pt idx="224">
                  <c:v>45.600000000000108</c:v>
                </c:pt>
                <c:pt idx="225">
                  <c:v>45.800000000000111</c:v>
                </c:pt>
                <c:pt idx="226">
                  <c:v>46.000000000000114</c:v>
                </c:pt>
                <c:pt idx="227">
                  <c:v>46.200000000000117</c:v>
                </c:pt>
                <c:pt idx="228">
                  <c:v>46.400000000000119</c:v>
                </c:pt>
                <c:pt idx="229">
                  <c:v>46.600000000000122</c:v>
                </c:pt>
                <c:pt idx="230">
                  <c:v>46.800000000000125</c:v>
                </c:pt>
                <c:pt idx="231">
                  <c:v>47.000000000000128</c:v>
                </c:pt>
                <c:pt idx="232">
                  <c:v>47.200000000000131</c:v>
                </c:pt>
                <c:pt idx="233">
                  <c:v>47.400000000000134</c:v>
                </c:pt>
                <c:pt idx="234">
                  <c:v>47.600000000000136</c:v>
                </c:pt>
                <c:pt idx="235">
                  <c:v>47.800000000000139</c:v>
                </c:pt>
                <c:pt idx="236">
                  <c:v>48.000000000000142</c:v>
                </c:pt>
                <c:pt idx="237">
                  <c:v>48.200000000000145</c:v>
                </c:pt>
                <c:pt idx="238">
                  <c:v>48.400000000000148</c:v>
                </c:pt>
                <c:pt idx="239">
                  <c:v>48.600000000000151</c:v>
                </c:pt>
                <c:pt idx="240">
                  <c:v>48.800000000000153</c:v>
                </c:pt>
                <c:pt idx="241">
                  <c:v>49.000000000000156</c:v>
                </c:pt>
                <c:pt idx="242">
                  <c:v>49.200000000000159</c:v>
                </c:pt>
                <c:pt idx="243">
                  <c:v>49.400000000000162</c:v>
                </c:pt>
                <c:pt idx="244">
                  <c:v>49.600000000000165</c:v>
                </c:pt>
                <c:pt idx="245">
                  <c:v>49.800000000000168</c:v>
                </c:pt>
                <c:pt idx="246">
                  <c:v>50.000000000000171</c:v>
                </c:pt>
              </c:numCache>
            </c:numRef>
          </c:xVal>
          <c:yVal>
            <c:numRef>
              <c:f>'High-Pass Filter Design'!$BA$3:$BA$249</c:f>
              <c:numCache>
                <c:formatCode>General</c:formatCode>
                <c:ptCount val="247"/>
                <c:pt idx="0">
                  <c:v>11.072097596880921</c:v>
                </c:pt>
                <c:pt idx="1">
                  <c:v>9.2196899232300851</c:v>
                </c:pt>
                <c:pt idx="2">
                  <c:v>7.8954421078492318</c:v>
                </c:pt>
                <c:pt idx="3">
                  <c:v>6.9012944155887235</c:v>
                </c:pt>
                <c:pt idx="4">
                  <c:v>6.1272136896690057</c:v>
                </c:pt>
                <c:pt idx="5">
                  <c:v>5.5071800626889562</c:v>
                </c:pt>
                <c:pt idx="6">
                  <c:v>4.9991809162006362</c:v>
                </c:pt>
                <c:pt idx="7">
                  <c:v>4.575207860520889</c:v>
                </c:pt>
                <c:pt idx="8">
                  <c:v>4.2158704931143856</c:v>
                </c:pt>
                <c:pt idx="9">
                  <c:v>3.9073185462633373</c:v>
                </c:pt>
                <c:pt idx="10">
                  <c:v>3.639395175690975</c:v>
                </c:pt>
                <c:pt idx="11">
                  <c:v>3.4044827659722374</c:v>
                </c:pt>
                <c:pt idx="12">
                  <c:v>3.1967560987615542</c:v>
                </c:pt>
                <c:pt idx="13">
                  <c:v>3.011684464965346</c:v>
                </c:pt>
                <c:pt idx="14">
                  <c:v>2.8456910046699337</c:v>
                </c:pt>
                <c:pt idx="15">
                  <c:v>2.6959142451117613</c:v>
                </c:pt>
                <c:pt idx="16">
                  <c:v>2.5600377706766819</c:v>
                </c:pt>
                <c:pt idx="17">
                  <c:v>2.4361663465567771</c:v>
                </c:pt>
                <c:pt idx="18">
                  <c:v>2.3227343579959605</c:v>
                </c:pt>
                <c:pt idx="19">
                  <c:v>2.2184371397458547</c:v>
                </c:pt>
                <c:pt idx="20">
                  <c:v>2.1221787864741453</c:v>
                </c:pt>
                <c:pt idx="21">
                  <c:v>2.03303200694732</c:v>
                </c:pt>
                <c:pt idx="22">
                  <c:v>1.9502068995293018</c:v>
                </c:pt>
                <c:pt idx="23">
                  <c:v>1.8730264186684884</c:v>
                </c:pt>
                <c:pt idx="24">
                  <c:v>1.8009069173084329</c:v>
                </c:pt>
                <c:pt idx="25">
                  <c:v>1.7333425808420266</c:v>
                </c:pt>
                <c:pt idx="26">
                  <c:v>1.6698928738750189</c:v>
                </c:pt>
                <c:pt idx="27">
                  <c:v>1.6101723407488575</c:v>
                </c:pt>
                <c:pt idx="28">
                  <c:v>1.5538422605426068</c:v>
                </c:pt>
                <c:pt idx="29">
                  <c:v>1.5006037747513348</c:v>
                </c:pt>
                <c:pt idx="30">
                  <c:v>1.4501921931081907</c:v>
                </c:pt>
                <c:pt idx="31">
                  <c:v>1.4023722484689076</c:v>
                </c:pt>
                <c:pt idx="32">
                  <c:v>1.3569341212088353</c:v>
                </c:pt>
                <c:pt idx="33">
                  <c:v>1.3136900913831917</c:v>
                </c:pt>
                <c:pt idx="34">
                  <c:v>1.27247170597768</c:v>
                </c:pt>
                <c:pt idx="35">
                  <c:v>1.2331273711118835</c:v>
                </c:pt>
                <c:pt idx="36">
                  <c:v>1.1955202966459757</c:v>
                </c:pt>
                <c:pt idx="37">
                  <c:v>1.1595267344601237</c:v>
                </c:pt>
                <c:pt idx="38">
                  <c:v>1.1250344626034647</c:v>
                </c:pt>
                <c:pt idx="39">
                  <c:v>1.0919414762011452</c:v>
                </c:pt>
                <c:pt idx="41">
                  <c:v>1.0601548529613687</c:v>
                </c:pt>
                <c:pt idx="42">
                  <c:v>1.0295897667177998</c:v>
                </c:pt>
                <c:pt idx="43">
                  <c:v>1.000168626964596</c:v>
                </c:pt>
                <c:pt idx="44">
                  <c:v>0.97182032601588919</c:v>
                </c:pt>
                <c:pt idx="45">
                  <c:v>0.94447957842068286</c:v>
                </c:pt>
                <c:pt idx="46">
                  <c:v>0.91808633972422515</c:v>
                </c:pt>
                <c:pt idx="47">
                  <c:v>0.89258529369219319</c:v>
                </c:pt>
                <c:pt idx="48">
                  <c:v>0.86792539878950625</c:v>
                </c:pt>
                <c:pt idx="49">
                  <c:v>0.84405948609614623</c:v>
                </c:pt>
                <c:pt idx="50">
                  <c:v>0.82094390200162126</c:v>
                </c:pt>
                <c:pt idx="51">
                  <c:v>0.79853818998923576</c:v>
                </c:pt>
                <c:pt idx="52">
                  <c:v>0.7768048066351817</c:v>
                </c:pt>
                <c:pt idx="53">
                  <c:v>0.75570886763291512</c:v>
                </c:pt>
                <c:pt idx="54">
                  <c:v>0.73521792023277777</c:v>
                </c:pt>
                <c:pt idx="55">
                  <c:v>0.71530173897779359</c:v>
                </c:pt>
                <c:pt idx="56">
                  <c:v>0.6959321420343173</c:v>
                </c:pt>
                <c:pt idx="57">
                  <c:v>0.67708282577256529</c:v>
                </c:pt>
                <c:pt idx="58">
                  <c:v>0.6587292155568627</c:v>
                </c:pt>
                <c:pt idx="59">
                  <c:v>0.6408483309671249</c:v>
                </c:pt>
                <c:pt idx="60">
                  <c:v>0.62341866389830203</c:v>
                </c:pt>
                <c:pt idx="61">
                  <c:v>0.60642006817895511</c:v>
                </c:pt>
                <c:pt idx="62">
                  <c:v>0.58983365951857047</c:v>
                </c:pt>
                <c:pt idx="63">
                  <c:v>0.57364172473953234</c:v>
                </c:pt>
                <c:pt idx="64">
                  <c:v>0.55782763937733493</c:v>
                </c:pt>
                <c:pt idx="65">
                  <c:v>0.54237579284426929</c:v>
                </c:pt>
                <c:pt idx="66">
                  <c:v>0.52727152045004533</c:v>
                </c:pt>
                <c:pt idx="67">
                  <c:v>0.51250104165949217</c:v>
                </c:pt>
                <c:pt idx="68">
                  <c:v>0.49805140404453802</c:v>
                </c:pt>
                <c:pt idx="69">
                  <c:v>0.48391043245646342</c:v>
                </c:pt>
                <c:pt idx="70">
                  <c:v>0.47006668300648169</c:v>
                </c:pt>
                <c:pt idx="71">
                  <c:v>0.45650940149902963</c:v>
                </c:pt>
                <c:pt idx="72">
                  <c:v>0.44322848601392878</c:v>
                </c:pt>
                <c:pt idx="73">
                  <c:v>0.43021445338183811</c:v>
                </c:pt>
                <c:pt idx="74">
                  <c:v>0.41745840934286393</c:v>
                </c:pt>
                <c:pt idx="75">
                  <c:v>0.40495202222197241</c:v>
                </c:pt>
                <c:pt idx="76">
                  <c:v>0.39268749999769875</c:v>
                </c:pt>
                <c:pt idx="77">
                  <c:v>0.38065757068334871</c:v>
                </c:pt>
                <c:pt idx="78">
                  <c:v>0.36885546598364127</c:v>
                </c:pt>
                <c:pt idx="79">
                  <c:v>0.35727490823522284</c:v>
                </c:pt>
                <c:pt idx="80">
                  <c:v>0.3459101006879346</c:v>
                </c:pt>
                <c:pt idx="81">
                  <c:v>0.33475572123629616</c:v>
                </c:pt>
                <c:pt idx="82">
                  <c:v>0.32380691976864062</c:v>
                </c:pt>
                <c:pt idx="83">
                  <c:v>0.31305931936622167</c:v>
                </c:pt>
                <c:pt idx="84">
                  <c:v>0.30250902165813287</c:v>
                </c:pt>
                <c:pt idx="85">
                  <c:v>0.29215261672182302</c:v>
                </c:pt>
                <c:pt idx="86">
                  <c:v>0.28198719801552935</c:v>
                </c:pt>
                <c:pt idx="87">
                  <c:v>0.27201038294033786</c:v>
                </c:pt>
                <c:pt idx="88">
                  <c:v>0.26222033975797265</c:v>
                </c:pt>
                <c:pt idx="89">
                  <c:v>0.25261582173833147</c:v>
                </c:pt>
                <c:pt idx="90">
                  <c:v>0.24319620957963539</c:v>
                </c:pt>
                <c:pt idx="91">
                  <c:v>0.2339615633348503</c:v>
                </c:pt>
                <c:pt idx="92">
                  <c:v>0.22491268528935737</c:v>
                </c:pt>
                <c:pt idx="93">
                  <c:v>0.21605119546207818</c:v>
                </c:pt>
                <c:pt idx="94">
                  <c:v>0.20737962163445647</c:v>
                </c:pt>
                <c:pt idx="95">
                  <c:v>0.19890150602868398</c:v>
                </c:pt>
                <c:pt idx="96">
                  <c:v>0.19062153092215328</c:v>
                </c:pt>
                <c:pt idx="97">
                  <c:v>0.1825456655395232</c:v>
                </c:pt>
                <c:pt idx="98">
                  <c:v>0.1746813364107862</c:v>
                </c:pt>
                <c:pt idx="99">
                  <c:v>0.16703762287349311</c:v>
                </c:pt>
                <c:pt idx="100">
                  <c:v>0.1596254783042553</c:v>
                </c:pt>
                <c:pt idx="101">
                  <c:v>0.15245797565994643</c:v>
                </c:pt>
                <c:pt idx="102">
                  <c:v>0.14555057253382583</c:v>
                </c:pt>
                <c:pt idx="103">
                  <c:v>0.13892138558277153</c:v>
                </c:pt>
                <c:pt idx="104">
                  <c:v>0.13259145613562498</c:v>
                </c:pt>
                <c:pt idx="105">
                  <c:v>0.1265849773197231</c:v>
                </c:pt>
                <c:pt idx="106">
                  <c:v>0.12092943769110387</c:v>
                </c:pt>
                <c:pt idx="107">
                  <c:v>0.1156556175112935</c:v>
                </c:pt>
                <c:pt idx="108">
                  <c:v>0.1107973536373385</c:v>
                </c:pt>
                <c:pt idx="109">
                  <c:v>0.10639097265561716</c:v>
                </c:pt>
                <c:pt idx="110">
                  <c:v>0.10247428870604813</c:v>
                </c:pt>
                <c:pt idx="111">
                  <c:v>9.908508572606628E-2</c:v>
                </c:pt>
                <c:pt idx="112">
                  <c:v>9.6259067648862134E-2</c:v>
                </c:pt>
                <c:pt idx="113">
                  <c:v>9.4027371148919889E-2</c:v>
                </c:pt>
                <c:pt idx="114">
                  <c:v>9.2413881378019272E-2</c:v>
                </c:pt>
                <c:pt idx="115">
                  <c:v>9.1432731166627298E-2</c:v>
                </c:pt>
                <c:pt idx="116">
                  <c:v>9.1086435387745412E-2</c:v>
                </c:pt>
                <c:pt idx="117">
                  <c:v>9.1365057422127582E-2</c:v>
                </c:pt>
                <c:pt idx="118">
                  <c:v>9.2246612760049154E-2</c:v>
                </c:pt>
                <c:pt idx="119">
                  <c:v>9.3698642444552782E-2</c:v>
                </c:pt>
                <c:pt idx="120">
                  <c:v>9.5680638628723572E-2</c:v>
                </c:pt>
                <c:pt idx="121">
                  <c:v>9.8146867074089122E-2</c:v>
                </c:pt>
                <c:pt idx="122">
                  <c:v>0.10104913803357671</c:v>
                </c:pt>
                <c:pt idx="123">
                  <c:v>0.10433919311520029</c:v>
                </c:pt>
                <c:pt idx="124">
                  <c:v>0.10797053456009512</c:v>
                </c:pt>
                <c:pt idx="125">
                  <c:v>0.11189966576633059</c:v>
                </c:pt>
                <c:pt idx="126">
                  <c:v>0.11608680739925324</c:v>
                </c:pt>
                <c:pt idx="127">
                  <c:v>0.1204961990330469</c:v>
                </c:pt>
                <c:pt idx="128">
                  <c:v>0.12509610427690354</c:v>
                </c:pt>
                <c:pt idx="129">
                  <c:v>0.12985862367817369</c:v>
                </c:pt>
                <c:pt idx="130">
                  <c:v>0.13475939732004641</c:v>
                </c:pt>
                <c:pt idx="131">
                  <c:v>0.13977725605098063</c:v>
                </c:pt>
                <c:pt idx="132">
                  <c:v>0.14489386064164575</c:v>
                </c:pt>
                <c:pt idx="133">
                  <c:v>0.15009335308241692</c:v>
                </c:pt>
                <c:pt idx="134">
                  <c:v>0.15536203349382596</c:v>
                </c:pt>
                <c:pt idx="135">
                  <c:v>0.16068806892927667</c:v>
                </c:pt>
                <c:pt idx="136">
                  <c:v>0.16606123580456719</c:v>
                </c:pt>
                <c:pt idx="137">
                  <c:v>0.1714726950008959</c:v>
                </c:pt>
                <c:pt idx="138">
                  <c:v>0.17691479723956766</c:v>
                </c:pt>
                <c:pt idx="139">
                  <c:v>0.18238091566814654</c:v>
                </c:pt>
                <c:pt idx="140">
                  <c:v>0.18786530242054478</c:v>
                </c:pt>
                <c:pt idx="141">
                  <c:v>0.1933629660111845</c:v>
                </c:pt>
                <c:pt idx="142">
                  <c:v>0.19886956666540165</c:v>
                </c:pt>
                <c:pt idx="143">
                  <c:v>0.20438132699296499</c:v>
                </c:pt>
                <c:pt idx="144">
                  <c:v>0.20989495573101202</c:v>
                </c:pt>
                <c:pt idx="145">
                  <c:v>0.21540758259053699</c:v>
                </c:pt>
                <c:pt idx="146">
                  <c:v>0.22091670252245393</c:v>
                </c:pt>
                <c:pt idx="147">
                  <c:v>0.22642012797037123</c:v>
                </c:pt>
                <c:pt idx="148">
                  <c:v>0.23191594789607892</c:v>
                </c:pt>
                <c:pt idx="149">
                  <c:v>0.23740249255191578</c:v>
                </c:pt>
                <c:pt idx="150">
                  <c:v>0.24287830313486669</c:v>
                </c:pt>
                <c:pt idx="151">
                  <c:v>0.24834210559290634</c:v>
                </c:pt>
                <c:pt idx="152">
                  <c:v>0.25379278796884014</c:v>
                </c:pt>
                <c:pt idx="153">
                  <c:v>0.25922938076315272</c:v>
                </c:pt>
                <c:pt idx="154">
                  <c:v>0.26465103987815264</c:v>
                </c:pt>
                <c:pt idx="155">
                  <c:v>0.27005703177356111</c:v>
                </c:pt>
                <c:pt idx="156">
                  <c:v>0.27544672052056213</c:v>
                </c:pt>
                <c:pt idx="157">
                  <c:v>0.28081955648884743</c:v>
                </c:pt>
                <c:pt idx="158">
                  <c:v>0.28617506644142149</c:v>
                </c:pt>
                <c:pt idx="159">
                  <c:v>0.29151284484534207</c:v>
                </c:pt>
                <c:pt idx="160">
                  <c:v>0.29683254623506289</c:v>
                </c:pt>
                <c:pt idx="161">
                  <c:v>0.30213387848872392</c:v>
                </c:pt>
                <c:pt idx="162">
                  <c:v>0.30741659689793066</c:v>
                </c:pt>
                <c:pt idx="163">
                  <c:v>0.31268049892862881</c:v>
                </c:pt>
                <c:pt idx="164">
                  <c:v>0.31792541958493731</c:v>
                </c:pt>
                <c:pt idx="165">
                  <c:v>0.3231512273002411</c:v>
                </c:pt>
                <c:pt idx="166">
                  <c:v>0.32835782029001226</c:v>
                </c:pt>
                <c:pt idx="167">
                  <c:v>0.3335451233099298</c:v>
                </c:pt>
                <c:pt idx="168">
                  <c:v>0.33871308477023027</c:v>
                </c:pt>
                <c:pt idx="169">
                  <c:v>0.34386167416377422</c:v>
                </c:pt>
                <c:pt idx="170">
                  <c:v>0.34899087977094201</c:v>
                </c:pt>
                <c:pt idx="171">
                  <c:v>0.35410070660900278</c:v>
                </c:pt>
                <c:pt idx="172">
                  <c:v>0.3591911745979961</c:v>
                </c:pt>
                <c:pt idx="173">
                  <c:v>0.36426231691841865</c:v>
                </c:pt>
                <c:pt idx="174">
                  <c:v>0.36931417853923376</c:v>
                </c:pt>
                <c:pt idx="175">
                  <c:v>0.37434681489733118</c:v>
                </c:pt>
                <c:pt idx="176">
                  <c:v>0.37936029071174854</c:v>
                </c:pt>
                <c:pt idx="177">
                  <c:v>0.38435467891813141</c:v>
                </c:pt>
                <c:pt idx="178">
                  <c:v>0.38933005971042633</c:v>
                </c:pt>
                <c:pt idx="179">
                  <c:v>0.39428651967853146</c:v>
                </c:pt>
                <c:pt idx="180">
                  <c:v>0.3992241510317393</c:v>
                </c:pt>
                <c:pt idx="181">
                  <c:v>0.40414305089906138</c:v>
                </c:pt>
                <c:pt idx="182">
                  <c:v>0.40904332069860483</c:v>
                </c:pt>
                <c:pt idx="183">
                  <c:v>0.41392506556880126</c:v>
                </c:pt>
                <c:pt idx="184">
                  <c:v>0.41878839385541139</c:v>
                </c:pt>
                <c:pt idx="185">
                  <c:v>0.42363341664859261</c:v>
                </c:pt>
                <c:pt idx="186">
                  <c:v>0.42846024736509791</c:v>
                </c:pt>
                <c:pt idx="187">
                  <c:v>0.43326900137122543</c:v>
                </c:pt>
                <c:pt idx="188">
                  <c:v>0.43805979564243003</c:v>
                </c:pt>
                <c:pt idx="189">
                  <c:v>0.44283274845615711</c:v>
                </c:pt>
                <c:pt idx="190">
                  <c:v>0.44758797911462012</c:v>
                </c:pt>
                <c:pt idx="191">
                  <c:v>0.45232560769471059</c:v>
                </c:pt>
                <c:pt idx="192">
                  <c:v>0.45704575482248333</c:v>
                </c:pt>
                <c:pt idx="193">
                  <c:v>0.46174854146982824</c:v>
                </c:pt>
                <c:pt idx="194">
                  <c:v>0.46643408877137238</c:v>
                </c:pt>
                <c:pt idx="195">
                  <c:v>0.47110251785959067</c:v>
                </c:pt>
                <c:pt idx="196">
                  <c:v>0.47575394971659046</c:v>
                </c:pt>
                <c:pt idx="197">
                  <c:v>0.48038850504088465</c:v>
                </c:pt>
                <c:pt idx="198">
                  <c:v>0.48500630412792434</c:v>
                </c:pt>
                <c:pt idx="199">
                  <c:v>0.48960746676302841</c:v>
                </c:pt>
                <c:pt idx="200">
                  <c:v>0.49419211212562075</c:v>
                </c:pt>
                <c:pt idx="201">
                  <c:v>0.49876035870379853</c:v>
                </c:pt>
                <c:pt idx="202">
                  <c:v>0.50331232421821959</c:v>
                </c:pt>
                <c:pt idx="203">
                  <c:v>0.50784812555450698</c:v>
                </c:pt>
                <c:pt idx="204">
                  <c:v>0.51236787870345624</c:v>
                </c:pt>
                <c:pt idx="205">
                  <c:v>0.51687169870823002</c:v>
                </c:pt>
                <c:pt idx="206">
                  <c:v>0.5213596996180524</c:v>
                </c:pt>
                <c:pt idx="207">
                  <c:v>0.52583199444769224</c:v>
                </c:pt>
                <c:pt idx="208">
                  <c:v>0.53028869514233323</c:v>
                </c:pt>
                <c:pt idx="209">
                  <c:v>0.53472991254725655</c:v>
                </c:pt>
                <c:pt idx="210">
                  <c:v>0.53915575638195068</c:v>
                </c:pt>
                <c:pt idx="211">
                  <c:v>0.54356633521827058</c:v>
                </c:pt>
                <c:pt idx="212">
                  <c:v>0.54796175646221212</c:v>
                </c:pt>
                <c:pt idx="213">
                  <c:v>0.55234212633906821</c:v>
                </c:pt>
                <c:pt idx="214">
                  <c:v>0.55670754988155924</c:v>
                </c:pt>
                <c:pt idx="215">
                  <c:v>0.56105813092077816</c:v>
                </c:pt>
                <c:pt idx="216">
                  <c:v>0.56539397207958542</c:v>
                </c:pt>
                <c:pt idx="217">
                  <c:v>0.56971517476829803</c:v>
                </c:pt>
                <c:pt idx="218">
                  <c:v>0.5740218391824532</c:v>
                </c:pt>
                <c:pt idx="219">
                  <c:v>0.5783140643024024</c:v>
                </c:pt>
                <c:pt idx="220">
                  <c:v>0.58259194789464264</c:v>
                </c:pt>
                <c:pt idx="221">
                  <c:v>0.58685558651464886</c:v>
                </c:pt>
                <c:pt idx="222">
                  <c:v>0.5911050755110806</c:v>
                </c:pt>
                <c:pt idx="223">
                  <c:v>0.59534050903127966</c:v>
                </c:pt>
                <c:pt idx="224">
                  <c:v>0.5995619800278269</c:v>
                </c:pt>
                <c:pt idx="225">
                  <c:v>0.60376958026617611</c:v>
                </c:pt>
                <c:pt idx="226">
                  <c:v>0.60796340033312501</c:v>
                </c:pt>
                <c:pt idx="227">
                  <c:v>0.61214352964615659</c:v>
                </c:pt>
                <c:pt idx="228">
                  <c:v>0.61631005646345971</c:v>
                </c:pt>
                <c:pt idx="229">
                  <c:v>0.62046306789459238</c:v>
                </c:pt>
                <c:pt idx="230">
                  <c:v>0.62460264991175618</c:v>
                </c:pt>
                <c:pt idx="231">
                  <c:v>0.62872888736149612</c:v>
                </c:pt>
                <c:pt idx="232">
                  <c:v>0.63284186397692166</c:v>
                </c:pt>
                <c:pt idx="233">
                  <c:v>0.63694166239024541</c:v>
                </c:pt>
                <c:pt idx="234">
                  <c:v>0.64102836414567022</c:v>
                </c:pt>
                <c:pt idx="235">
                  <c:v>0.64510204971258422</c:v>
                </c:pt>
                <c:pt idx="236">
                  <c:v>0.64916279849894609</c:v>
                </c:pt>
                <c:pt idx="237">
                  <c:v>0.65321068886492251</c:v>
                </c:pt>
                <c:pt idx="238">
                  <c:v>0.65724579813664497</c:v>
                </c:pt>
                <c:pt idx="239">
                  <c:v>0.66126820262010921</c:v>
                </c:pt>
                <c:pt idx="240">
                  <c:v>0.6652779776151988</c:v>
                </c:pt>
                <c:pt idx="241">
                  <c:v>0.66927519742972841</c:v>
                </c:pt>
                <c:pt idx="242">
                  <c:v>0.67325993539359252</c:v>
                </c:pt>
                <c:pt idx="243">
                  <c:v>0.67723226387287605</c:v>
                </c:pt>
                <c:pt idx="244">
                  <c:v>0.6811922542840334</c:v>
                </c:pt>
                <c:pt idx="245">
                  <c:v>0.68513997710797292</c:v>
                </c:pt>
                <c:pt idx="246">
                  <c:v>0.6890755019041892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35-4066-98EF-9CD81C7D5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620224"/>
        <c:axId val="152392448"/>
      </c:scatterChart>
      <c:valAx>
        <c:axId val="151620224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sz="1600" b="0"/>
                </a:pPr>
                <a:r>
                  <a:rPr lang="en-US" sz="1600" b="0"/>
                  <a:t>Harmonic #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52392448"/>
        <c:crosses val="autoZero"/>
        <c:crossBetween val="midCat"/>
        <c:majorUnit val="5"/>
        <c:minorUnit val="1"/>
      </c:valAx>
      <c:valAx>
        <c:axId val="1523924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600" b="0"/>
                </a:pPr>
                <a:r>
                  <a:rPr lang="en-US" sz="1600" b="0"/>
                  <a:t>Filter Impedance (ohms)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5162022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Filter Impedance Vs.</a:t>
            </a:r>
            <a:r>
              <a:rPr lang="en-US" baseline="0"/>
              <a:t> Harmonic Number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6266185476815402E-2"/>
          <c:y val="7.4548702245552642E-2"/>
          <c:w val="0.85094219595979592"/>
          <c:h val="0.8326195683872849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'C-High-Pass Filter Design'!$AZ$3:$AZ$250</c:f>
              <c:numCache>
                <c:formatCode>General</c:formatCode>
                <c:ptCount val="248"/>
                <c:pt idx="0">
                  <c:v>1</c:v>
                </c:pt>
                <c:pt idx="1">
                  <c:v>1.2</c:v>
                </c:pt>
                <c:pt idx="2">
                  <c:v>1.4</c:v>
                </c:pt>
                <c:pt idx="3">
                  <c:v>1.5999999999999999</c:v>
                </c:pt>
                <c:pt idx="4">
                  <c:v>1.7999999999999998</c:v>
                </c:pt>
                <c:pt idx="5">
                  <c:v>1.9999999999999998</c:v>
                </c:pt>
                <c:pt idx="6">
                  <c:v>2.1999999999999997</c:v>
                </c:pt>
                <c:pt idx="7">
                  <c:v>2.4</c:v>
                </c:pt>
                <c:pt idx="8">
                  <c:v>2.6</c:v>
                </c:pt>
                <c:pt idx="9">
                  <c:v>2.8000000000000003</c:v>
                </c:pt>
                <c:pt idx="10">
                  <c:v>3.0000000000000004</c:v>
                </c:pt>
                <c:pt idx="11">
                  <c:v>3.2000000000000006</c:v>
                </c:pt>
                <c:pt idx="12">
                  <c:v>3.4000000000000008</c:v>
                </c:pt>
                <c:pt idx="13">
                  <c:v>3.600000000000001</c:v>
                </c:pt>
                <c:pt idx="14">
                  <c:v>3.8000000000000012</c:v>
                </c:pt>
                <c:pt idx="15">
                  <c:v>4.0000000000000009</c:v>
                </c:pt>
                <c:pt idx="16">
                  <c:v>4.2000000000000011</c:v>
                </c:pt>
                <c:pt idx="17">
                  <c:v>4.4000000000000012</c:v>
                </c:pt>
                <c:pt idx="18">
                  <c:v>4.6000000000000014</c:v>
                </c:pt>
                <c:pt idx="19">
                  <c:v>4.8000000000000016</c:v>
                </c:pt>
                <c:pt idx="20">
                  <c:v>5.0000000000000018</c:v>
                </c:pt>
                <c:pt idx="21">
                  <c:v>5.200000000000002</c:v>
                </c:pt>
                <c:pt idx="22">
                  <c:v>5.4000000000000021</c:v>
                </c:pt>
                <c:pt idx="23">
                  <c:v>5.6000000000000023</c:v>
                </c:pt>
                <c:pt idx="24">
                  <c:v>5.8000000000000025</c:v>
                </c:pt>
                <c:pt idx="25">
                  <c:v>6.0000000000000027</c:v>
                </c:pt>
                <c:pt idx="26">
                  <c:v>6.2000000000000028</c:v>
                </c:pt>
                <c:pt idx="27">
                  <c:v>6.400000000000003</c:v>
                </c:pt>
                <c:pt idx="28">
                  <c:v>6.6000000000000032</c:v>
                </c:pt>
                <c:pt idx="29">
                  <c:v>6.8000000000000034</c:v>
                </c:pt>
                <c:pt idx="30">
                  <c:v>7.0000000000000036</c:v>
                </c:pt>
                <c:pt idx="31">
                  <c:v>7.2000000000000037</c:v>
                </c:pt>
                <c:pt idx="32">
                  <c:v>7.4000000000000039</c:v>
                </c:pt>
                <c:pt idx="33">
                  <c:v>7.6000000000000041</c:v>
                </c:pt>
                <c:pt idx="34">
                  <c:v>7.8000000000000043</c:v>
                </c:pt>
                <c:pt idx="35">
                  <c:v>8.0000000000000036</c:v>
                </c:pt>
                <c:pt idx="36">
                  <c:v>8.2000000000000028</c:v>
                </c:pt>
                <c:pt idx="37">
                  <c:v>8.4000000000000021</c:v>
                </c:pt>
                <c:pt idx="38">
                  <c:v>8.6000000000000014</c:v>
                </c:pt>
                <c:pt idx="39">
                  <c:v>8.8000000000000007</c:v>
                </c:pt>
                <c:pt idx="41">
                  <c:v>9</c:v>
                </c:pt>
                <c:pt idx="42">
                  <c:v>9.1999999999999993</c:v>
                </c:pt>
                <c:pt idx="43">
                  <c:v>9.3999999999999986</c:v>
                </c:pt>
                <c:pt idx="44">
                  <c:v>9.5999999999999979</c:v>
                </c:pt>
                <c:pt idx="45">
                  <c:v>9.7999999999999972</c:v>
                </c:pt>
                <c:pt idx="46">
                  <c:v>9.9999999999999964</c:v>
                </c:pt>
                <c:pt idx="47">
                  <c:v>10.199999999999996</c:v>
                </c:pt>
                <c:pt idx="48">
                  <c:v>10.399999999999995</c:v>
                </c:pt>
                <c:pt idx="49">
                  <c:v>10.599999999999994</c:v>
                </c:pt>
                <c:pt idx="50">
                  <c:v>10.799999999999994</c:v>
                </c:pt>
                <c:pt idx="51">
                  <c:v>10.999999999999993</c:v>
                </c:pt>
                <c:pt idx="52">
                  <c:v>11.199999999999992</c:v>
                </c:pt>
                <c:pt idx="53">
                  <c:v>11.399999999999991</c:v>
                </c:pt>
                <c:pt idx="54">
                  <c:v>11.599999999999991</c:v>
                </c:pt>
                <c:pt idx="55">
                  <c:v>11.79999999999999</c:v>
                </c:pt>
                <c:pt idx="56">
                  <c:v>11.999999999999989</c:v>
                </c:pt>
                <c:pt idx="57">
                  <c:v>12.199999999999989</c:v>
                </c:pt>
                <c:pt idx="58">
                  <c:v>12.399999999999988</c:v>
                </c:pt>
                <c:pt idx="59">
                  <c:v>12.599999999999987</c:v>
                </c:pt>
                <c:pt idx="60">
                  <c:v>12.799999999999986</c:v>
                </c:pt>
                <c:pt idx="61">
                  <c:v>12.999999999999986</c:v>
                </c:pt>
                <c:pt idx="62">
                  <c:v>13.199999999999985</c:v>
                </c:pt>
                <c:pt idx="64">
                  <c:v>13.399999999999984</c:v>
                </c:pt>
                <c:pt idx="65">
                  <c:v>13.599999999999984</c:v>
                </c:pt>
                <c:pt idx="66">
                  <c:v>13.799999999999983</c:v>
                </c:pt>
                <c:pt idx="67">
                  <c:v>13.999999999999982</c:v>
                </c:pt>
                <c:pt idx="68">
                  <c:v>14.199999999999982</c:v>
                </c:pt>
                <c:pt idx="69">
                  <c:v>14.399999999999981</c:v>
                </c:pt>
                <c:pt idx="70">
                  <c:v>14.59999999999998</c:v>
                </c:pt>
                <c:pt idx="71">
                  <c:v>14.799999999999979</c:v>
                </c:pt>
                <c:pt idx="72">
                  <c:v>14.999999999999979</c:v>
                </c:pt>
                <c:pt idx="73">
                  <c:v>15.199999999999978</c:v>
                </c:pt>
                <c:pt idx="74">
                  <c:v>15.399999999999977</c:v>
                </c:pt>
                <c:pt idx="75">
                  <c:v>15.599999999999977</c:v>
                </c:pt>
                <c:pt idx="76">
                  <c:v>15.799999999999976</c:v>
                </c:pt>
                <c:pt idx="77">
                  <c:v>15.999999999999975</c:v>
                </c:pt>
                <c:pt idx="78">
                  <c:v>16.199999999999974</c:v>
                </c:pt>
                <c:pt idx="79">
                  <c:v>16.399999999999974</c:v>
                </c:pt>
                <c:pt idx="80">
                  <c:v>16.599999999999973</c:v>
                </c:pt>
                <c:pt idx="81">
                  <c:v>16.799999999999972</c:v>
                </c:pt>
                <c:pt idx="82">
                  <c:v>16.999999999999972</c:v>
                </c:pt>
                <c:pt idx="83">
                  <c:v>17.199999999999971</c:v>
                </c:pt>
                <c:pt idx="84">
                  <c:v>17.39999999999997</c:v>
                </c:pt>
                <c:pt idx="85">
                  <c:v>17.599999999999969</c:v>
                </c:pt>
                <c:pt idx="86">
                  <c:v>17.799999999999969</c:v>
                </c:pt>
                <c:pt idx="87">
                  <c:v>17.999999999999968</c:v>
                </c:pt>
                <c:pt idx="88">
                  <c:v>18.199999999999967</c:v>
                </c:pt>
                <c:pt idx="89">
                  <c:v>18.399999999999967</c:v>
                </c:pt>
                <c:pt idx="90">
                  <c:v>18.599999999999966</c:v>
                </c:pt>
                <c:pt idx="91">
                  <c:v>18.799999999999965</c:v>
                </c:pt>
                <c:pt idx="92">
                  <c:v>18.999999999999964</c:v>
                </c:pt>
                <c:pt idx="93">
                  <c:v>19.199999999999964</c:v>
                </c:pt>
                <c:pt idx="94">
                  <c:v>19.399999999999963</c:v>
                </c:pt>
                <c:pt idx="95">
                  <c:v>19.599999999999962</c:v>
                </c:pt>
                <c:pt idx="96">
                  <c:v>19.799999999999962</c:v>
                </c:pt>
                <c:pt idx="97">
                  <c:v>19.999999999999961</c:v>
                </c:pt>
                <c:pt idx="98">
                  <c:v>20.19999999999996</c:v>
                </c:pt>
                <c:pt idx="99">
                  <c:v>20.399999999999959</c:v>
                </c:pt>
                <c:pt idx="100">
                  <c:v>20.599999999999959</c:v>
                </c:pt>
                <c:pt idx="101">
                  <c:v>20.799999999999958</c:v>
                </c:pt>
                <c:pt idx="102">
                  <c:v>20.999999999999957</c:v>
                </c:pt>
                <c:pt idx="103">
                  <c:v>21.199999999999957</c:v>
                </c:pt>
                <c:pt idx="104">
                  <c:v>21.399999999999956</c:v>
                </c:pt>
                <c:pt idx="105">
                  <c:v>21.599999999999955</c:v>
                </c:pt>
                <c:pt idx="106">
                  <c:v>21.799999999999955</c:v>
                </c:pt>
                <c:pt idx="107">
                  <c:v>21.999999999999954</c:v>
                </c:pt>
                <c:pt idx="108">
                  <c:v>22.199999999999953</c:v>
                </c:pt>
                <c:pt idx="109">
                  <c:v>22.399999999999952</c:v>
                </c:pt>
                <c:pt idx="110">
                  <c:v>22.599999999999952</c:v>
                </c:pt>
                <c:pt idx="111">
                  <c:v>22.799999999999951</c:v>
                </c:pt>
                <c:pt idx="112">
                  <c:v>22.99999999999995</c:v>
                </c:pt>
                <c:pt idx="113">
                  <c:v>23.19999999999995</c:v>
                </c:pt>
                <c:pt idx="114">
                  <c:v>23.399999999999949</c:v>
                </c:pt>
                <c:pt idx="115">
                  <c:v>23.599999999999948</c:v>
                </c:pt>
                <c:pt idx="116">
                  <c:v>23.799999999999947</c:v>
                </c:pt>
                <c:pt idx="117">
                  <c:v>23.999999999999947</c:v>
                </c:pt>
                <c:pt idx="118">
                  <c:v>24.199999999999946</c:v>
                </c:pt>
                <c:pt idx="119">
                  <c:v>24.399999999999945</c:v>
                </c:pt>
                <c:pt idx="120">
                  <c:v>24.599999999999945</c:v>
                </c:pt>
                <c:pt idx="121">
                  <c:v>24.799999999999944</c:v>
                </c:pt>
                <c:pt idx="122">
                  <c:v>24.999999999999943</c:v>
                </c:pt>
                <c:pt idx="123">
                  <c:v>25.199999999999942</c:v>
                </c:pt>
                <c:pt idx="124">
                  <c:v>25.399999999999942</c:v>
                </c:pt>
                <c:pt idx="125">
                  <c:v>25.599999999999941</c:v>
                </c:pt>
                <c:pt idx="126">
                  <c:v>25.79999999999994</c:v>
                </c:pt>
                <c:pt idx="127">
                  <c:v>25.99999999999994</c:v>
                </c:pt>
                <c:pt idx="128">
                  <c:v>26.199999999999939</c:v>
                </c:pt>
                <c:pt idx="129">
                  <c:v>26.399999999999938</c:v>
                </c:pt>
                <c:pt idx="130">
                  <c:v>26.599999999999937</c:v>
                </c:pt>
                <c:pt idx="131">
                  <c:v>26.799999999999937</c:v>
                </c:pt>
                <c:pt idx="132">
                  <c:v>26.999999999999936</c:v>
                </c:pt>
                <c:pt idx="133">
                  <c:v>27.199999999999935</c:v>
                </c:pt>
                <c:pt idx="134">
                  <c:v>27.399999999999935</c:v>
                </c:pt>
                <c:pt idx="135">
                  <c:v>27.599999999999934</c:v>
                </c:pt>
                <c:pt idx="136">
                  <c:v>27.799999999999933</c:v>
                </c:pt>
                <c:pt idx="137">
                  <c:v>27.999999999999932</c:v>
                </c:pt>
                <c:pt idx="138">
                  <c:v>28.199999999999932</c:v>
                </c:pt>
                <c:pt idx="139">
                  <c:v>28.399999999999931</c:v>
                </c:pt>
                <c:pt idx="140">
                  <c:v>28.59999999999993</c:v>
                </c:pt>
                <c:pt idx="141">
                  <c:v>28.79999999999993</c:v>
                </c:pt>
                <c:pt idx="142">
                  <c:v>28.999999999999929</c:v>
                </c:pt>
                <c:pt idx="143">
                  <c:v>29.199999999999928</c:v>
                </c:pt>
                <c:pt idx="144">
                  <c:v>29.399999999999928</c:v>
                </c:pt>
                <c:pt idx="145">
                  <c:v>29.599999999999927</c:v>
                </c:pt>
                <c:pt idx="146">
                  <c:v>29.799999999999926</c:v>
                </c:pt>
                <c:pt idx="147">
                  <c:v>29.999999999999925</c:v>
                </c:pt>
                <c:pt idx="148">
                  <c:v>30.199999999999925</c:v>
                </c:pt>
                <c:pt idx="149">
                  <c:v>30.399999999999924</c:v>
                </c:pt>
                <c:pt idx="150">
                  <c:v>30.599999999999923</c:v>
                </c:pt>
                <c:pt idx="151">
                  <c:v>30.799999999999923</c:v>
                </c:pt>
                <c:pt idx="152">
                  <c:v>30.999999999999922</c:v>
                </c:pt>
                <c:pt idx="153">
                  <c:v>31.199999999999921</c:v>
                </c:pt>
                <c:pt idx="154">
                  <c:v>31.39999999999992</c:v>
                </c:pt>
                <c:pt idx="155">
                  <c:v>31.59999999999992</c:v>
                </c:pt>
                <c:pt idx="156">
                  <c:v>31.799999999999919</c:v>
                </c:pt>
                <c:pt idx="157">
                  <c:v>31.999999999999918</c:v>
                </c:pt>
                <c:pt idx="158">
                  <c:v>32.199999999999918</c:v>
                </c:pt>
                <c:pt idx="159">
                  <c:v>32.39999999999992</c:v>
                </c:pt>
                <c:pt idx="160">
                  <c:v>32.599999999999923</c:v>
                </c:pt>
                <c:pt idx="161">
                  <c:v>32.799999999999926</c:v>
                </c:pt>
                <c:pt idx="162">
                  <c:v>32.999999999999929</c:v>
                </c:pt>
                <c:pt idx="163">
                  <c:v>33.199999999999932</c:v>
                </c:pt>
                <c:pt idx="164">
                  <c:v>33.399999999999935</c:v>
                </c:pt>
                <c:pt idx="165">
                  <c:v>33.599999999999937</c:v>
                </c:pt>
                <c:pt idx="166">
                  <c:v>33.79999999999994</c:v>
                </c:pt>
                <c:pt idx="167">
                  <c:v>33.999999999999943</c:v>
                </c:pt>
                <c:pt idx="168">
                  <c:v>34.199999999999946</c:v>
                </c:pt>
                <c:pt idx="169">
                  <c:v>34.399999999999949</c:v>
                </c:pt>
                <c:pt idx="170">
                  <c:v>34.599999999999952</c:v>
                </c:pt>
                <c:pt idx="171">
                  <c:v>34.799999999999955</c:v>
                </c:pt>
                <c:pt idx="172">
                  <c:v>34.999999999999957</c:v>
                </c:pt>
                <c:pt idx="173">
                  <c:v>35.19999999999996</c:v>
                </c:pt>
                <c:pt idx="174">
                  <c:v>35.399999999999963</c:v>
                </c:pt>
                <c:pt idx="175">
                  <c:v>35.599999999999966</c:v>
                </c:pt>
                <c:pt idx="176">
                  <c:v>35.799999999999969</c:v>
                </c:pt>
                <c:pt idx="177">
                  <c:v>35.999999999999972</c:v>
                </c:pt>
                <c:pt idx="178">
                  <c:v>36.199999999999974</c:v>
                </c:pt>
                <c:pt idx="179">
                  <c:v>36.399999999999977</c:v>
                </c:pt>
                <c:pt idx="180">
                  <c:v>36.59999999999998</c:v>
                </c:pt>
                <c:pt idx="181">
                  <c:v>36.799999999999983</c:v>
                </c:pt>
                <c:pt idx="182">
                  <c:v>36.999999999999986</c:v>
                </c:pt>
                <c:pt idx="183">
                  <c:v>37.199999999999989</c:v>
                </c:pt>
                <c:pt idx="184">
                  <c:v>37.399999999999991</c:v>
                </c:pt>
                <c:pt idx="185">
                  <c:v>37.599999999999994</c:v>
                </c:pt>
                <c:pt idx="186">
                  <c:v>37.799999999999997</c:v>
                </c:pt>
                <c:pt idx="187">
                  <c:v>38</c:v>
                </c:pt>
                <c:pt idx="188">
                  <c:v>38.200000000000003</c:v>
                </c:pt>
                <c:pt idx="189">
                  <c:v>38.400000000000006</c:v>
                </c:pt>
                <c:pt idx="190">
                  <c:v>38.600000000000009</c:v>
                </c:pt>
                <c:pt idx="191">
                  <c:v>38.800000000000011</c:v>
                </c:pt>
                <c:pt idx="192">
                  <c:v>39.000000000000014</c:v>
                </c:pt>
                <c:pt idx="193">
                  <c:v>39.200000000000017</c:v>
                </c:pt>
                <c:pt idx="194">
                  <c:v>39.40000000000002</c:v>
                </c:pt>
                <c:pt idx="195">
                  <c:v>39.600000000000023</c:v>
                </c:pt>
                <c:pt idx="196">
                  <c:v>39.800000000000026</c:v>
                </c:pt>
                <c:pt idx="197">
                  <c:v>40.000000000000028</c:v>
                </c:pt>
                <c:pt idx="198">
                  <c:v>40.200000000000031</c:v>
                </c:pt>
                <c:pt idx="199">
                  <c:v>40.400000000000034</c:v>
                </c:pt>
                <c:pt idx="200">
                  <c:v>40.600000000000037</c:v>
                </c:pt>
                <c:pt idx="201">
                  <c:v>40.80000000000004</c:v>
                </c:pt>
                <c:pt idx="202">
                  <c:v>41.000000000000043</c:v>
                </c:pt>
                <c:pt idx="203">
                  <c:v>41.200000000000045</c:v>
                </c:pt>
                <c:pt idx="204">
                  <c:v>41.400000000000048</c:v>
                </c:pt>
                <c:pt idx="205">
                  <c:v>41.600000000000051</c:v>
                </c:pt>
                <c:pt idx="206">
                  <c:v>41.800000000000054</c:v>
                </c:pt>
                <c:pt idx="207">
                  <c:v>42.000000000000057</c:v>
                </c:pt>
                <c:pt idx="208">
                  <c:v>42.20000000000006</c:v>
                </c:pt>
                <c:pt idx="209">
                  <c:v>42.400000000000063</c:v>
                </c:pt>
                <c:pt idx="210">
                  <c:v>42.600000000000065</c:v>
                </c:pt>
                <c:pt idx="211">
                  <c:v>42.800000000000068</c:v>
                </c:pt>
                <c:pt idx="212">
                  <c:v>43.000000000000071</c:v>
                </c:pt>
                <c:pt idx="213">
                  <c:v>43.200000000000074</c:v>
                </c:pt>
                <c:pt idx="214">
                  <c:v>43.400000000000077</c:v>
                </c:pt>
                <c:pt idx="215">
                  <c:v>43.60000000000008</c:v>
                </c:pt>
                <c:pt idx="216">
                  <c:v>43.800000000000082</c:v>
                </c:pt>
                <c:pt idx="217">
                  <c:v>44.000000000000085</c:v>
                </c:pt>
                <c:pt idx="218">
                  <c:v>44.200000000000088</c:v>
                </c:pt>
                <c:pt idx="219">
                  <c:v>44.400000000000091</c:v>
                </c:pt>
                <c:pt idx="220">
                  <c:v>44.600000000000094</c:v>
                </c:pt>
                <c:pt idx="221">
                  <c:v>44.800000000000097</c:v>
                </c:pt>
                <c:pt idx="222">
                  <c:v>45.000000000000099</c:v>
                </c:pt>
                <c:pt idx="223">
                  <c:v>45.200000000000102</c:v>
                </c:pt>
                <c:pt idx="224">
                  <c:v>45.400000000000105</c:v>
                </c:pt>
                <c:pt idx="225">
                  <c:v>45.600000000000108</c:v>
                </c:pt>
                <c:pt idx="226">
                  <c:v>45.800000000000111</c:v>
                </c:pt>
                <c:pt idx="227">
                  <c:v>46.000000000000114</c:v>
                </c:pt>
                <c:pt idx="228">
                  <c:v>46.200000000000117</c:v>
                </c:pt>
                <c:pt idx="229">
                  <c:v>46.400000000000119</c:v>
                </c:pt>
                <c:pt idx="230">
                  <c:v>46.600000000000122</c:v>
                </c:pt>
                <c:pt idx="231">
                  <c:v>46.800000000000125</c:v>
                </c:pt>
                <c:pt idx="232">
                  <c:v>47.000000000000128</c:v>
                </c:pt>
                <c:pt idx="233">
                  <c:v>47.200000000000131</c:v>
                </c:pt>
                <c:pt idx="234">
                  <c:v>47.400000000000134</c:v>
                </c:pt>
                <c:pt idx="235">
                  <c:v>47.600000000000136</c:v>
                </c:pt>
                <c:pt idx="236">
                  <c:v>47.800000000000139</c:v>
                </c:pt>
                <c:pt idx="237">
                  <c:v>48.000000000000142</c:v>
                </c:pt>
                <c:pt idx="238">
                  <c:v>48.200000000000145</c:v>
                </c:pt>
                <c:pt idx="239">
                  <c:v>48.400000000000148</c:v>
                </c:pt>
                <c:pt idx="240">
                  <c:v>48.600000000000151</c:v>
                </c:pt>
                <c:pt idx="241">
                  <c:v>48.800000000000153</c:v>
                </c:pt>
                <c:pt idx="242">
                  <c:v>49.000000000000156</c:v>
                </c:pt>
                <c:pt idx="243">
                  <c:v>49.200000000000159</c:v>
                </c:pt>
                <c:pt idx="244">
                  <c:v>49.400000000000162</c:v>
                </c:pt>
                <c:pt idx="245">
                  <c:v>49.600000000000165</c:v>
                </c:pt>
                <c:pt idx="246">
                  <c:v>49.800000000000168</c:v>
                </c:pt>
                <c:pt idx="247">
                  <c:v>50.000000000000171</c:v>
                </c:pt>
              </c:numCache>
            </c:numRef>
          </c:xVal>
          <c:yVal>
            <c:numRef>
              <c:f>'C-High-Pass Filter Design'!$BA$3:$BA$250</c:f>
              <c:numCache>
                <c:formatCode>General</c:formatCode>
                <c:ptCount val="248"/>
                <c:pt idx="0">
                  <c:v>38.088007808297462</c:v>
                </c:pt>
                <c:pt idx="1">
                  <c:v>30.852387959726087</c:v>
                </c:pt>
                <c:pt idx="2">
                  <c:v>25.55444346511138</c:v>
                </c:pt>
                <c:pt idx="3">
                  <c:v>21.475142967571077</c:v>
                </c:pt>
                <c:pt idx="4">
                  <c:v>18.215753358467577</c:v>
                </c:pt>
                <c:pt idx="5">
                  <c:v>15.538292765522266</c:v>
                </c:pt>
                <c:pt idx="6">
                  <c:v>13.292999895501211</c:v>
                </c:pt>
                <c:pt idx="7">
                  <c:v>11.382229418936014</c:v>
                </c:pt>
                <c:pt idx="8">
                  <c:v>9.7412970408214132</c:v>
                </c:pt>
                <c:pt idx="9">
                  <c:v>8.3279536672708954</c:v>
                </c:pt>
                <c:pt idx="10">
                  <c:v>7.1166241042336171</c:v>
                </c:pt>
                <c:pt idx="11">
                  <c:v>6.0953933973465215</c:v>
                </c:pt>
                <c:pt idx="12">
                  <c:v>5.2642522558740659</c:v>
                </c:pt>
                <c:pt idx="13">
                  <c:v>4.6326232478079152</c:v>
                </c:pt>
                <c:pt idx="14">
                  <c:v>4.2132035063618076</c:v>
                </c:pt>
                <c:pt idx="15">
                  <c:v>4.0103758203036648</c:v>
                </c:pt>
                <c:pt idx="16">
                  <c:v>4.0084379730877506</c:v>
                </c:pt>
                <c:pt idx="17">
                  <c:v>4.1707958107973395</c:v>
                </c:pt>
                <c:pt idx="18">
                  <c:v>4.4518432769491927</c:v>
                </c:pt>
                <c:pt idx="19">
                  <c:v>4.8100058605492828</c:v>
                </c:pt>
                <c:pt idx="20">
                  <c:v>5.2136294744895872</c:v>
                </c:pt>
                <c:pt idx="21">
                  <c:v>5.6408688654255696</c:v>
                </c:pt>
                <c:pt idx="22">
                  <c:v>6.077375620581603</c:v>
                </c:pt>
                <c:pt idx="23">
                  <c:v>6.5139492695233958</c:v>
                </c:pt>
                <c:pt idx="24">
                  <c:v>6.9447730769490406</c:v>
                </c:pt>
                <c:pt idx="25">
                  <c:v>7.3662238666516187</c:v>
                </c:pt>
                <c:pt idx="26">
                  <c:v>7.7761006769556733</c:v>
                </c:pt>
                <c:pt idx="27">
                  <c:v>8.1731301633925248</c:v>
                </c:pt>
                <c:pt idx="28">
                  <c:v>8.5566484629014408</c:v>
                </c:pt>
                <c:pt idx="29">
                  <c:v>8.9263946121010971</c:v>
                </c:pt>
                <c:pt idx="30">
                  <c:v>9.2823747765623636</c:v>
                </c:pt>
                <c:pt idx="31">
                  <c:v>9.6247718867874053</c:v>
                </c:pt>
                <c:pt idx="32">
                  <c:v>9.9538847668300097</c:v>
                </c:pt>
                <c:pt idx="33">
                  <c:v>10.27008668456422</c:v>
                </c:pt>
                <c:pt idx="34">
                  <c:v>10.573796868612433</c:v>
                </c:pt>
                <c:pt idx="35">
                  <c:v>10.865460797400919</c:v>
                </c:pt>
                <c:pt idx="36">
                  <c:v>11.145536496589452</c:v>
                </c:pt>
                <c:pt idx="37">
                  <c:v>11.414484998999848</c:v>
                </c:pt>
                <c:pt idx="38">
                  <c:v>11.672763718088335</c:v>
                </c:pt>
                <c:pt idx="39">
                  <c:v>11.920821879433058</c:v>
                </c:pt>
                <c:pt idx="41">
                  <c:v>12.159097417396769</c:v>
                </c:pt>
                <c:pt idx="42">
                  <c:v>12.388014921689972</c:v>
                </c:pt>
                <c:pt idx="43">
                  <c:v>12.607984340013791</c:v>
                </c:pt>
                <c:pt idx="44">
                  <c:v>12.81940022695508</c:v>
                </c:pt>
                <c:pt idx="45">
                  <c:v>13.022641388009568</c:v>
                </c:pt>
                <c:pt idx="46">
                  <c:v>13.218070809040951</c:v>
                </c:pt>
                <c:pt idx="47">
                  <c:v>13.406035791007273</c:v>
                </c:pt>
                <c:pt idx="48">
                  <c:v>13.586868231001336</c:v>
                </c:pt>
                <c:pt idx="49">
                  <c:v>13.760885006029628</c:v>
                </c:pt>
                <c:pt idx="50">
                  <c:v>13.928388427188212</c:v>
                </c:pt>
                <c:pt idx="51">
                  <c:v>14.089666740156369</c:v>
                </c:pt>
                <c:pt idx="52">
                  <c:v>14.244994654052745</c:v>
                </c:pt>
                <c:pt idx="53">
                  <c:v>14.394633885262937</c:v>
                </c:pt>
                <c:pt idx="54">
                  <c:v>14.538833706271392</c:v>
                </c:pt>
                <c:pt idx="55">
                  <c:v>14.677831492108931</c:v>
                </c:pt>
                <c:pt idx="56">
                  <c:v>14.811853258982277</c:v>
                </c:pt>
                <c:pt idx="57">
                  <c:v>14.941114191138354</c:v>
                </c:pt>
                <c:pt idx="58">
                  <c:v>15.065819153147261</c:v>
                </c:pt>
                <c:pt idx="59">
                  <c:v>15.18616318565455</c:v>
                </c:pt>
                <c:pt idx="60">
                  <c:v>15.3023319833177</c:v>
                </c:pt>
                <c:pt idx="61">
                  <c:v>15.414502354146576</c:v>
                </c:pt>
                <c:pt idx="62">
                  <c:v>15.5228426598563</c:v>
                </c:pt>
                <c:pt idx="64">
                  <c:v>15.627513237137629</c:v>
                </c:pt>
                <c:pt idx="65">
                  <c:v>15.728666799970915</c:v>
                </c:pt>
                <c:pt idx="66">
                  <c:v>15.826448823280156</c:v>
                </c:pt>
                <c:pt idx="67">
                  <c:v>15.920997908345898</c:v>
                </c:pt>
                <c:pt idx="68">
                  <c:v>16.012446130489042</c:v>
                </c:pt>
                <c:pt idx="69">
                  <c:v>16.100919369598017</c:v>
                </c:pt>
                <c:pt idx="70">
                  <c:v>16.18653762411855</c:v>
                </c:pt>
                <c:pt idx="71">
                  <c:v>16.269415309148904</c:v>
                </c:pt>
                <c:pt idx="72">
                  <c:v>16.34966153930085</c:v>
                </c:pt>
                <c:pt idx="73">
                  <c:v>16.427380396987193</c:v>
                </c:pt>
                <c:pt idx="74">
                  <c:v>16.50267118679762</c:v>
                </c:pt>
                <c:pt idx="75">
                  <c:v>16.575628676611462</c:v>
                </c:pt>
                <c:pt idx="76">
                  <c:v>16.64634332608528</c:v>
                </c:pt>
                <c:pt idx="77">
                  <c:v>16.714901503135206</c:v>
                </c:pt>
                <c:pt idx="78">
                  <c:v>16.78138568901392</c:v>
                </c:pt>
                <c:pt idx="79">
                  <c:v>16.845874672563347</c:v>
                </c:pt>
                <c:pt idx="80">
                  <c:v>16.908443734199679</c:v>
                </c:pt>
                <c:pt idx="81">
                  <c:v>16.969164820166331</c:v>
                </c:pt>
                <c:pt idx="82">
                  <c:v>17.028106707567122</c:v>
                </c:pt>
                <c:pt idx="83">
                  <c:v>17.085335160668418</c:v>
                </c:pt>
                <c:pt idx="84">
                  <c:v>17.140913078936507</c:v>
                </c:pt>
                <c:pt idx="85">
                  <c:v>17.194900637255017</c:v>
                </c:pt>
                <c:pt idx="86">
                  <c:v>17.247355418744469</c:v>
                </c:pt>
                <c:pt idx="87">
                  <c:v>17.298332540583516</c:v>
                </c:pt>
                <c:pt idx="88">
                  <c:v>17.347884773214965</c:v>
                </c:pt>
                <c:pt idx="89">
                  <c:v>17.396062653294806</c:v>
                </c:pt>
                <c:pt idx="90">
                  <c:v>17.442914590728126</c:v>
                </c:pt>
                <c:pt idx="91">
                  <c:v>17.48848697011346</c:v>
                </c:pt>
                <c:pt idx="92">
                  <c:v>17.53282424690347</c:v>
                </c:pt>
                <c:pt idx="93">
                  <c:v>17.575969038570566</c:v>
                </c:pt>
                <c:pt idx="94">
                  <c:v>17.617962211050632</c:v>
                </c:pt>
                <c:pt idx="95">
                  <c:v>17.658842960725</c:v>
                </c:pt>
                <c:pt idx="96">
                  <c:v>17.69864889218336</c:v>
                </c:pt>
                <c:pt idx="97">
                  <c:v>17.737416091999982</c:v>
                </c:pt>
                <c:pt idx="98">
                  <c:v>17.775179198739067</c:v>
                </c:pt>
                <c:pt idx="99">
                  <c:v>17.81197146939688</c:v>
                </c:pt>
                <c:pt idx="100">
                  <c:v>17.847824842473784</c:v>
                </c:pt>
                <c:pt idx="101">
                  <c:v>17.88276999785943</c:v>
                </c:pt>
                <c:pt idx="102">
                  <c:v>17.916836413704605</c:v>
                </c:pt>
                <c:pt idx="103">
                  <c:v>17.950052420441359</c:v>
                </c:pt>
                <c:pt idx="104">
                  <c:v>17.982445252107965</c:v>
                </c:pt>
                <c:pt idx="105">
                  <c:v>18.014041095121392</c:v>
                </c:pt>
                <c:pt idx="106">
                  <c:v>18.044865134635469</c:v>
                </c:pt>
                <c:pt idx="107">
                  <c:v>18.074941598615254</c:v>
                </c:pt>
                <c:pt idx="108">
                  <c:v>18.10429379974704</c:v>
                </c:pt>
                <c:pt idx="109">
                  <c:v>18.132944175301084</c:v>
                </c:pt>
                <c:pt idx="110">
                  <c:v>18.160914325055902</c:v>
                </c:pt>
                <c:pt idx="111">
                  <c:v>18.188225047385011</c:v>
                </c:pt>
                <c:pt idx="112">
                  <c:v>18.214896373605583</c:v>
                </c:pt>
                <c:pt idx="113">
                  <c:v>18.24094760067733</c:v>
                </c:pt>
                <c:pt idx="114">
                  <c:v>18.266397322340296</c:v>
                </c:pt>
                <c:pt idx="115">
                  <c:v>18.2912634587728</c:v>
                </c:pt>
                <c:pt idx="116">
                  <c:v>18.315563284844345</c:v>
                </c:pt>
                <c:pt idx="117">
                  <c:v>18.339313457039559</c:v>
                </c:pt>
                <c:pt idx="118">
                  <c:v>18.362530039118973</c:v>
                </c:pt>
                <c:pt idx="119">
                  <c:v>18.385228526582569</c:v>
                </c:pt>
                <c:pt idx="120">
                  <c:v>18.407423869997963</c:v>
                </c:pt>
                <c:pt idx="121">
                  <c:v>18.429130497250476</c:v>
                </c:pt>
                <c:pt idx="122">
                  <c:v>18.450362334768631</c:v>
                </c:pt>
                <c:pt idx="123">
                  <c:v>18.471132827780529</c:v>
                </c:pt>
                <c:pt idx="124">
                  <c:v>18.491454959645385</c:v>
                </c:pt>
                <c:pt idx="125">
                  <c:v>18.511341270309405</c:v>
                </c:pt>
                <c:pt idx="126">
                  <c:v>18.530803873930484</c:v>
                </c:pt>
                <c:pt idx="127">
                  <c:v>18.549854475709509</c:v>
                </c:pt>
                <c:pt idx="128">
                  <c:v>18.568504387970968</c:v>
                </c:pt>
                <c:pt idx="129">
                  <c:v>18.586764545529853</c:v>
                </c:pt>
                <c:pt idx="130">
                  <c:v>18.604645520375296</c:v>
                </c:pt>
                <c:pt idx="131">
                  <c:v>18.622157535712226</c:v>
                </c:pt>
                <c:pt idx="132">
                  <c:v>18.639310479384321</c:v>
                </c:pt>
                <c:pt idx="133">
                  <c:v>18.65611391671337</c:v>
                </c:pt>
                <c:pt idx="134">
                  <c:v>18.67257710278172</c:v>
                </c:pt>
                <c:pt idx="135">
                  <c:v>18.688708994183997</c:v>
                </c:pt>
                <c:pt idx="136">
                  <c:v>18.704518260274341</c:v>
                </c:pt>
                <c:pt idx="137">
                  <c:v>18.720013293932674</c:v>
                </c:pt>
                <c:pt idx="138">
                  <c:v>18.735202221872669</c:v>
                </c:pt>
                <c:pt idx="139">
                  <c:v>18.750092914514418</c:v>
                </c:pt>
                <c:pt idx="140">
                  <c:v>18.764692995439916</c:v>
                </c:pt>
                <c:pt idx="141">
                  <c:v>18.779009850452727</c:v>
                </c:pt>
                <c:pt idx="142">
                  <c:v>18.79305063626019</c:v>
                </c:pt>
                <c:pt idx="143">
                  <c:v>18.806822288794073</c:v>
                </c:pt>
                <c:pt idx="144">
                  <c:v>18.82033153118881</c:v>
                </c:pt>
                <c:pt idx="145">
                  <c:v>18.833584881430788</c:v>
                </c:pt>
                <c:pt idx="146">
                  <c:v>18.846588659694554</c:v>
                </c:pt>
                <c:pt idx="147">
                  <c:v>18.859348995381545</c:v>
                </c:pt>
                <c:pt idx="148">
                  <c:v>18.871871833872131</c:v>
                </c:pt>
                <c:pt idx="149">
                  <c:v>18.884162943006356</c:v>
                </c:pt>
                <c:pt idx="150">
                  <c:v>18.896227919304458</c:v>
                </c:pt>
                <c:pt idx="151">
                  <c:v>18.908072193938494</c:v>
                </c:pt>
                <c:pt idx="152">
                  <c:v>18.919701038467476</c:v>
                </c:pt>
                <c:pt idx="153">
                  <c:v>18.931119570344741</c:v>
                </c:pt>
                <c:pt idx="154">
                  <c:v>18.942332758209165</c:v>
                </c:pt>
                <c:pt idx="155">
                  <c:v>18.953345426968951</c:v>
                </c:pt>
                <c:pt idx="156">
                  <c:v>18.964162262686624</c:v>
                </c:pt>
                <c:pt idx="157">
                  <c:v>18.974787817275647</c:v>
                </c:pt>
                <c:pt idx="158">
                  <c:v>18.98522651301456</c:v>
                </c:pt>
                <c:pt idx="159">
                  <c:v>18.995482646888092</c:v>
                </c:pt>
                <c:pt idx="160">
                  <c:v>19.005560394761993</c:v>
                </c:pt>
                <c:pt idx="161">
                  <c:v>19.015463815398814</c:v>
                </c:pt>
                <c:pt idx="162">
                  <c:v>19.025196854322154</c:v>
                </c:pt>
                <c:pt idx="163">
                  <c:v>19.034763347534248</c:v>
                </c:pt>
                <c:pt idx="164">
                  <c:v>19.04416702509463</c:v>
                </c:pt>
                <c:pt idx="165">
                  <c:v>19.05341151456448</c:v>
                </c:pt>
                <c:pt idx="166">
                  <c:v>19.06250034432329</c:v>
                </c:pt>
                <c:pt idx="167">
                  <c:v>19.071436946762951</c:v>
                </c:pt>
                <c:pt idx="168">
                  <c:v>19.080224661363527</c:v>
                </c:pt>
                <c:pt idx="169">
                  <c:v>19.088866737655771</c:v>
                </c:pt>
                <c:pt idx="170">
                  <c:v>19.097366338077617</c:v>
                </c:pt>
                <c:pt idx="171">
                  <c:v>19.105726540724067</c:v>
                </c:pt>
                <c:pt idx="172">
                  <c:v>19.113950341999423</c:v>
                </c:pt>
                <c:pt idx="173">
                  <c:v>19.122040659173447</c:v>
                </c:pt>
                <c:pt idx="174">
                  <c:v>19.130000332845562</c:v>
                </c:pt>
                <c:pt idx="175">
                  <c:v>19.137832129321772</c:v>
                </c:pt>
                <c:pt idx="176">
                  <c:v>19.145538742906837</c:v>
                </c:pt>
                <c:pt idx="177">
                  <c:v>19.153122798114737</c:v>
                </c:pt>
                <c:pt idx="178">
                  <c:v>19.16058685180235</c:v>
                </c:pt>
                <c:pt idx="179">
                  <c:v>19.167933395227763</c:v>
                </c:pt>
                <c:pt idx="180">
                  <c:v>19.175164856036776</c:v>
                </c:pt>
                <c:pt idx="181">
                  <c:v>19.182283600180366</c:v>
                </c:pt>
                <c:pt idx="182">
                  <c:v>19.189291933766381</c:v>
                </c:pt>
                <c:pt idx="183">
                  <c:v>19.196192104846105</c:v>
                </c:pt>
                <c:pt idx="184">
                  <c:v>19.202986305141696</c:v>
                </c:pt>
                <c:pt idx="185">
                  <c:v>19.209676671712181</c:v>
                </c:pt>
                <c:pt idx="186">
                  <c:v>19.216265288565165</c:v>
                </c:pt>
                <c:pt idx="187">
                  <c:v>19.222754188212122</c:v>
                </c:pt>
                <c:pt idx="188">
                  <c:v>19.229145353172832</c:v>
                </c:pt>
                <c:pt idx="189">
                  <c:v>19.235440717428091</c:v>
                </c:pt>
                <c:pt idx="190">
                  <c:v>19.241642167824683</c:v>
                </c:pt>
                <c:pt idx="191">
                  <c:v>19.247751545433445</c:v>
                </c:pt>
                <c:pt idx="192">
                  <c:v>19.253770646862328</c:v>
                </c:pt>
                <c:pt idx="193">
                  <c:v>19.259701225525987</c:v>
                </c:pt>
                <c:pt idx="194">
                  <c:v>19.265544992874197</c:v>
                </c:pt>
                <c:pt idx="195">
                  <c:v>19.271303619579491</c:v>
                </c:pt>
                <c:pt idx="196">
                  <c:v>19.276978736686775</c:v>
                </c:pt>
                <c:pt idx="197">
                  <c:v>19.282571936725219</c:v>
                </c:pt>
                <c:pt idx="198">
                  <c:v>19.288084774784302</c:v>
                </c:pt>
                <c:pt idx="199">
                  <c:v>19.293518769555529</c:v>
                </c:pt>
                <c:pt idx="200">
                  <c:v>19.298875404340787</c:v>
                </c:pt>
                <c:pt idx="201">
                  <c:v>19.3041561280283</c:v>
                </c:pt>
                <c:pt idx="202">
                  <c:v>19.309362356037806</c:v>
                </c:pt>
                <c:pt idx="203">
                  <c:v>19.314495471235709</c:v>
                </c:pt>
                <c:pt idx="204">
                  <c:v>19.31955682482203</c:v>
                </c:pt>
                <c:pt idx="205">
                  <c:v>19.324547737188194</c:v>
                </c:pt>
                <c:pt idx="206">
                  <c:v>19.329469498750122</c:v>
                </c:pt>
                <c:pt idx="207">
                  <c:v>19.33432337075309</c:v>
                </c:pt>
                <c:pt idx="208">
                  <c:v>19.339110586053334</c:v>
                </c:pt>
                <c:pt idx="209">
                  <c:v>19.343832349875182</c:v>
                </c:pt>
                <c:pt idx="210">
                  <c:v>19.348489840544591</c:v>
                </c:pt>
                <c:pt idx="211">
                  <c:v>19.353084210200453</c:v>
                </c:pt>
                <c:pt idx="212">
                  <c:v>19.357616585484209</c:v>
                </c:pt>
                <c:pt idx="213">
                  <c:v>19.362088068208621</c:v>
                </c:pt>
                <c:pt idx="214">
                  <c:v>19.366499736006478</c:v>
                </c:pt>
                <c:pt idx="215">
                  <c:v>19.370852642959232</c:v>
                </c:pt>
                <c:pt idx="216">
                  <c:v>19.375147820207278</c:v>
                </c:pt>
                <c:pt idx="217">
                  <c:v>19.379386276541972</c:v>
                </c:pt>
                <c:pt idx="218">
                  <c:v>19.383568998979886</c:v>
                </c:pt>
                <c:pt idx="219">
                  <c:v>19.387696953320372</c:v>
                </c:pt>
                <c:pt idx="220">
                  <c:v>19.391771084685868</c:v>
                </c:pt>
                <c:pt idx="221">
                  <c:v>19.395792318047384</c:v>
                </c:pt>
                <c:pt idx="222">
                  <c:v>19.399761558733918</c:v>
                </c:pt>
                <c:pt idx="223">
                  <c:v>19.403679692927273</c:v>
                </c:pt>
                <c:pt idx="224">
                  <c:v>19.407547588142446</c:v>
                </c:pt>
                <c:pt idx="225">
                  <c:v>19.411366093693879</c:v>
                </c:pt>
                <c:pt idx="226">
                  <c:v>19.415136041148951</c:v>
                </c:pt>
                <c:pt idx="227">
                  <c:v>19.418858244767605</c:v>
                </c:pt>
                <c:pt idx="228">
                  <c:v>19.422533501929919</c:v>
                </c:pt>
                <c:pt idx="229">
                  <c:v>19.426162593551354</c:v>
                </c:pt>
                <c:pt idx="230">
                  <c:v>19.42974628448642</c:v>
                </c:pt>
                <c:pt idx="231">
                  <c:v>19.433285323920536</c:v>
                </c:pt>
                <c:pt idx="232">
                  <c:v>19.436780445751253</c:v>
                </c:pt>
                <c:pt idx="233">
                  <c:v>19.440232368958359</c:v>
                </c:pt>
                <c:pt idx="234">
                  <c:v>19.443641797963878</c:v>
                </c:pt>
                <c:pt idx="235">
                  <c:v>19.447009422982401</c:v>
                </c:pt>
                <c:pt idx="236">
                  <c:v>19.450335920360821</c:v>
                </c:pt>
                <c:pt idx="237">
                  <c:v>19.45362195290976</c:v>
                </c:pt>
                <c:pt idx="238">
                  <c:v>19.456868170224343</c:v>
                </c:pt>
                <c:pt idx="239">
                  <c:v>19.46007520899861</c:v>
                </c:pt>
                <c:pt idx="240">
                  <c:v>19.463243693328184</c:v>
                </c:pt>
                <c:pt idx="241">
                  <c:v>19.466374235007553</c:v>
                </c:pt>
                <c:pt idx="242">
                  <c:v>19.46946743381757</c:v>
                </c:pt>
                <c:pt idx="243">
                  <c:v>19.472523877805877</c:v>
                </c:pt>
                <c:pt idx="244">
                  <c:v>19.475544143559432</c:v>
                </c:pt>
                <c:pt idx="245">
                  <c:v>19.478528796469966</c:v>
                </c:pt>
                <c:pt idx="246">
                  <c:v>19.481478390992336</c:v>
                </c:pt>
                <c:pt idx="247">
                  <c:v>19.484393470895597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1C-461C-BE6F-13BED0EB6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32032"/>
        <c:axId val="23199744"/>
      </c:scatterChart>
      <c:valAx>
        <c:axId val="23132032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sz="1600" b="0"/>
                </a:pPr>
                <a:r>
                  <a:rPr lang="en-US" sz="1600" b="0"/>
                  <a:t>Harmonic #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3199744"/>
        <c:crosses val="autoZero"/>
        <c:crossBetween val="midCat"/>
        <c:majorUnit val="5"/>
        <c:minorUnit val="1"/>
      </c:valAx>
      <c:valAx>
        <c:axId val="231997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600" b="0"/>
                </a:pPr>
                <a:r>
                  <a:rPr lang="en-US" sz="1600" b="0"/>
                  <a:t>Filter Impedance (ohms)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31320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Filter Impedance Vs.</a:t>
            </a:r>
            <a:r>
              <a:rPr lang="en-US" baseline="0"/>
              <a:t> Harmonic Number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6266185476815402E-2"/>
          <c:y val="7.4548702245552642E-2"/>
          <c:w val="0.85094219595979592"/>
          <c:h val="0.8326195683872849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'Notch Filter Delta Connection'!$AZ$3:$AZ$250</c:f>
              <c:numCache>
                <c:formatCode>General</c:formatCode>
                <c:ptCount val="248"/>
                <c:pt idx="0">
                  <c:v>1</c:v>
                </c:pt>
                <c:pt idx="1">
                  <c:v>1.2</c:v>
                </c:pt>
                <c:pt idx="2">
                  <c:v>1.4</c:v>
                </c:pt>
                <c:pt idx="3">
                  <c:v>1.5999999999999999</c:v>
                </c:pt>
                <c:pt idx="4">
                  <c:v>1.7999999999999998</c:v>
                </c:pt>
                <c:pt idx="5">
                  <c:v>1.9999999999999998</c:v>
                </c:pt>
                <c:pt idx="6">
                  <c:v>2.1999999999999997</c:v>
                </c:pt>
                <c:pt idx="7">
                  <c:v>2.4</c:v>
                </c:pt>
                <c:pt idx="8">
                  <c:v>2.6</c:v>
                </c:pt>
                <c:pt idx="9">
                  <c:v>2.8000000000000003</c:v>
                </c:pt>
                <c:pt idx="10">
                  <c:v>3.0000000000000004</c:v>
                </c:pt>
                <c:pt idx="11">
                  <c:v>3.2000000000000006</c:v>
                </c:pt>
                <c:pt idx="12">
                  <c:v>3.4000000000000008</c:v>
                </c:pt>
                <c:pt idx="13">
                  <c:v>3.600000000000001</c:v>
                </c:pt>
                <c:pt idx="14">
                  <c:v>3.8000000000000012</c:v>
                </c:pt>
                <c:pt idx="15">
                  <c:v>4.0000000000000009</c:v>
                </c:pt>
                <c:pt idx="16">
                  <c:v>4.2000000000000011</c:v>
                </c:pt>
                <c:pt idx="17">
                  <c:v>4.4000000000000012</c:v>
                </c:pt>
                <c:pt idx="18">
                  <c:v>4.6000000000000014</c:v>
                </c:pt>
                <c:pt idx="19">
                  <c:v>4.8000000000000016</c:v>
                </c:pt>
                <c:pt idx="20">
                  <c:v>5.0000000000000018</c:v>
                </c:pt>
                <c:pt idx="21">
                  <c:v>5.200000000000002</c:v>
                </c:pt>
                <c:pt idx="22">
                  <c:v>5.4000000000000021</c:v>
                </c:pt>
                <c:pt idx="24">
                  <c:v>5.6000000000000023</c:v>
                </c:pt>
                <c:pt idx="25">
                  <c:v>5.8000000000000025</c:v>
                </c:pt>
                <c:pt idx="26">
                  <c:v>6.0000000000000027</c:v>
                </c:pt>
                <c:pt idx="27">
                  <c:v>6.2000000000000028</c:v>
                </c:pt>
                <c:pt idx="28">
                  <c:v>6.400000000000003</c:v>
                </c:pt>
                <c:pt idx="29">
                  <c:v>6.6000000000000032</c:v>
                </c:pt>
                <c:pt idx="30">
                  <c:v>6.8000000000000034</c:v>
                </c:pt>
                <c:pt idx="31">
                  <c:v>7.0000000000000036</c:v>
                </c:pt>
                <c:pt idx="32">
                  <c:v>7.2000000000000037</c:v>
                </c:pt>
                <c:pt idx="33">
                  <c:v>7.4000000000000039</c:v>
                </c:pt>
                <c:pt idx="34">
                  <c:v>7.6000000000000041</c:v>
                </c:pt>
                <c:pt idx="35">
                  <c:v>7.8000000000000043</c:v>
                </c:pt>
                <c:pt idx="36">
                  <c:v>8.0000000000000036</c:v>
                </c:pt>
                <c:pt idx="37">
                  <c:v>8.2000000000000028</c:v>
                </c:pt>
                <c:pt idx="38">
                  <c:v>8.4000000000000021</c:v>
                </c:pt>
                <c:pt idx="39">
                  <c:v>8.6000000000000014</c:v>
                </c:pt>
                <c:pt idx="40">
                  <c:v>8.8000000000000007</c:v>
                </c:pt>
                <c:pt idx="42">
                  <c:v>9</c:v>
                </c:pt>
                <c:pt idx="43">
                  <c:v>9.1999999999999993</c:v>
                </c:pt>
                <c:pt idx="44">
                  <c:v>9.3999999999999986</c:v>
                </c:pt>
                <c:pt idx="45">
                  <c:v>9.5999999999999979</c:v>
                </c:pt>
                <c:pt idx="46">
                  <c:v>9.7999999999999972</c:v>
                </c:pt>
                <c:pt idx="47">
                  <c:v>9.9999999999999964</c:v>
                </c:pt>
                <c:pt idx="48">
                  <c:v>10.199999999999996</c:v>
                </c:pt>
                <c:pt idx="49">
                  <c:v>10.399999999999995</c:v>
                </c:pt>
                <c:pt idx="50">
                  <c:v>10.599999999999994</c:v>
                </c:pt>
                <c:pt idx="51">
                  <c:v>10.799999999999994</c:v>
                </c:pt>
                <c:pt idx="52">
                  <c:v>10.999999999999993</c:v>
                </c:pt>
                <c:pt idx="53">
                  <c:v>11.199999999999992</c:v>
                </c:pt>
                <c:pt idx="54">
                  <c:v>11.399999999999991</c:v>
                </c:pt>
                <c:pt idx="55">
                  <c:v>11.599999999999991</c:v>
                </c:pt>
                <c:pt idx="56">
                  <c:v>11.79999999999999</c:v>
                </c:pt>
                <c:pt idx="57">
                  <c:v>11.999999999999989</c:v>
                </c:pt>
                <c:pt idx="58">
                  <c:v>12.199999999999989</c:v>
                </c:pt>
                <c:pt idx="59">
                  <c:v>12.399999999999988</c:v>
                </c:pt>
                <c:pt idx="60">
                  <c:v>12.599999999999987</c:v>
                </c:pt>
                <c:pt idx="61">
                  <c:v>12.799999999999986</c:v>
                </c:pt>
                <c:pt idx="62">
                  <c:v>12.999999999999986</c:v>
                </c:pt>
                <c:pt idx="63">
                  <c:v>13.199999999999985</c:v>
                </c:pt>
                <c:pt idx="64">
                  <c:v>13.399999999999984</c:v>
                </c:pt>
                <c:pt idx="65">
                  <c:v>13.599999999999984</c:v>
                </c:pt>
                <c:pt idx="66">
                  <c:v>13.799999999999983</c:v>
                </c:pt>
                <c:pt idx="67">
                  <c:v>13.999999999999982</c:v>
                </c:pt>
                <c:pt idx="68">
                  <c:v>14.199999999999982</c:v>
                </c:pt>
                <c:pt idx="69">
                  <c:v>14.399999999999981</c:v>
                </c:pt>
                <c:pt idx="70">
                  <c:v>14.59999999999998</c:v>
                </c:pt>
                <c:pt idx="71">
                  <c:v>14.799999999999979</c:v>
                </c:pt>
                <c:pt idx="72">
                  <c:v>14.999999999999979</c:v>
                </c:pt>
                <c:pt idx="73">
                  <c:v>15.199999999999978</c:v>
                </c:pt>
                <c:pt idx="74">
                  <c:v>15.399999999999977</c:v>
                </c:pt>
                <c:pt idx="75">
                  <c:v>15.599999999999977</c:v>
                </c:pt>
                <c:pt idx="76">
                  <c:v>15.799999999999976</c:v>
                </c:pt>
                <c:pt idx="77">
                  <c:v>15.999999999999975</c:v>
                </c:pt>
                <c:pt idx="78">
                  <c:v>16.199999999999974</c:v>
                </c:pt>
                <c:pt idx="79">
                  <c:v>16.399999999999974</c:v>
                </c:pt>
                <c:pt idx="80">
                  <c:v>16.599999999999973</c:v>
                </c:pt>
                <c:pt idx="81">
                  <c:v>16.799999999999972</c:v>
                </c:pt>
                <c:pt idx="82">
                  <c:v>16.999999999999972</c:v>
                </c:pt>
                <c:pt idx="83">
                  <c:v>17.199999999999971</c:v>
                </c:pt>
                <c:pt idx="84">
                  <c:v>17.39999999999997</c:v>
                </c:pt>
                <c:pt idx="85">
                  <c:v>17.599999999999969</c:v>
                </c:pt>
                <c:pt idx="86">
                  <c:v>17.799999999999969</c:v>
                </c:pt>
                <c:pt idx="87">
                  <c:v>17.999999999999968</c:v>
                </c:pt>
                <c:pt idx="88">
                  <c:v>18.199999999999967</c:v>
                </c:pt>
                <c:pt idx="89">
                  <c:v>18.399999999999967</c:v>
                </c:pt>
                <c:pt idx="90">
                  <c:v>18.599999999999966</c:v>
                </c:pt>
                <c:pt idx="91">
                  <c:v>18.799999999999965</c:v>
                </c:pt>
                <c:pt idx="92">
                  <c:v>18.999999999999964</c:v>
                </c:pt>
                <c:pt idx="93">
                  <c:v>19.199999999999964</c:v>
                </c:pt>
                <c:pt idx="94">
                  <c:v>19.399999999999963</c:v>
                </c:pt>
                <c:pt idx="95">
                  <c:v>19.599999999999962</c:v>
                </c:pt>
                <c:pt idx="96">
                  <c:v>19.799999999999962</c:v>
                </c:pt>
                <c:pt idx="97">
                  <c:v>19.999999999999961</c:v>
                </c:pt>
                <c:pt idx="98">
                  <c:v>20.19999999999996</c:v>
                </c:pt>
                <c:pt idx="99">
                  <c:v>20.399999999999959</c:v>
                </c:pt>
                <c:pt idx="100">
                  <c:v>20.599999999999959</c:v>
                </c:pt>
                <c:pt idx="101">
                  <c:v>20.799999999999958</c:v>
                </c:pt>
                <c:pt idx="102">
                  <c:v>20.999999999999957</c:v>
                </c:pt>
                <c:pt idx="103">
                  <c:v>21.199999999999957</c:v>
                </c:pt>
                <c:pt idx="104">
                  <c:v>21.399999999999956</c:v>
                </c:pt>
                <c:pt idx="105">
                  <c:v>21.599999999999955</c:v>
                </c:pt>
                <c:pt idx="106">
                  <c:v>21.799999999999955</c:v>
                </c:pt>
                <c:pt idx="107">
                  <c:v>21.999999999999954</c:v>
                </c:pt>
                <c:pt idx="108">
                  <c:v>22.199999999999953</c:v>
                </c:pt>
                <c:pt idx="109">
                  <c:v>22.399999999999952</c:v>
                </c:pt>
                <c:pt idx="110">
                  <c:v>22.599999999999952</c:v>
                </c:pt>
                <c:pt idx="111">
                  <c:v>22.799999999999951</c:v>
                </c:pt>
                <c:pt idx="112">
                  <c:v>22.99999999999995</c:v>
                </c:pt>
                <c:pt idx="113">
                  <c:v>23.19999999999995</c:v>
                </c:pt>
                <c:pt idx="114">
                  <c:v>23.399999999999949</c:v>
                </c:pt>
                <c:pt idx="115">
                  <c:v>23.599999999999948</c:v>
                </c:pt>
                <c:pt idx="116">
                  <c:v>23.799999999999947</c:v>
                </c:pt>
                <c:pt idx="117">
                  <c:v>23.999999999999947</c:v>
                </c:pt>
                <c:pt idx="118">
                  <c:v>24.199999999999946</c:v>
                </c:pt>
                <c:pt idx="119">
                  <c:v>24.399999999999945</c:v>
                </c:pt>
                <c:pt idx="120">
                  <c:v>24.599999999999945</c:v>
                </c:pt>
                <c:pt idx="121">
                  <c:v>24.799999999999944</c:v>
                </c:pt>
                <c:pt idx="122">
                  <c:v>24.999999999999943</c:v>
                </c:pt>
                <c:pt idx="123">
                  <c:v>25.199999999999942</c:v>
                </c:pt>
                <c:pt idx="124">
                  <c:v>25.399999999999942</c:v>
                </c:pt>
                <c:pt idx="125">
                  <c:v>25.599999999999941</c:v>
                </c:pt>
                <c:pt idx="126">
                  <c:v>25.79999999999994</c:v>
                </c:pt>
                <c:pt idx="127">
                  <c:v>25.99999999999994</c:v>
                </c:pt>
                <c:pt idx="128">
                  <c:v>26.199999999999939</c:v>
                </c:pt>
                <c:pt idx="129">
                  <c:v>26.399999999999938</c:v>
                </c:pt>
                <c:pt idx="130">
                  <c:v>26.599999999999937</c:v>
                </c:pt>
                <c:pt idx="131">
                  <c:v>26.799999999999937</c:v>
                </c:pt>
                <c:pt idx="132">
                  <c:v>26.999999999999936</c:v>
                </c:pt>
                <c:pt idx="133">
                  <c:v>27.199999999999935</c:v>
                </c:pt>
                <c:pt idx="134">
                  <c:v>27.399999999999935</c:v>
                </c:pt>
                <c:pt idx="135">
                  <c:v>27.599999999999934</c:v>
                </c:pt>
                <c:pt idx="136">
                  <c:v>27.799999999999933</c:v>
                </c:pt>
                <c:pt idx="137">
                  <c:v>27.999999999999932</c:v>
                </c:pt>
                <c:pt idx="138">
                  <c:v>28.199999999999932</c:v>
                </c:pt>
                <c:pt idx="139">
                  <c:v>28.399999999999931</c:v>
                </c:pt>
                <c:pt idx="140">
                  <c:v>28.59999999999993</c:v>
                </c:pt>
                <c:pt idx="141">
                  <c:v>28.79999999999993</c:v>
                </c:pt>
                <c:pt idx="142">
                  <c:v>28.999999999999929</c:v>
                </c:pt>
                <c:pt idx="143">
                  <c:v>29.199999999999928</c:v>
                </c:pt>
                <c:pt idx="144">
                  <c:v>29.399999999999928</c:v>
                </c:pt>
                <c:pt idx="145">
                  <c:v>29.599999999999927</c:v>
                </c:pt>
                <c:pt idx="146">
                  <c:v>29.799999999999926</c:v>
                </c:pt>
                <c:pt idx="147">
                  <c:v>29.999999999999925</c:v>
                </c:pt>
                <c:pt idx="148">
                  <c:v>30.199999999999925</c:v>
                </c:pt>
                <c:pt idx="149">
                  <c:v>30.399999999999924</c:v>
                </c:pt>
                <c:pt idx="150">
                  <c:v>30.599999999999923</c:v>
                </c:pt>
                <c:pt idx="151">
                  <c:v>30.799999999999923</c:v>
                </c:pt>
                <c:pt idx="152">
                  <c:v>30.999999999999922</c:v>
                </c:pt>
                <c:pt idx="153">
                  <c:v>31.199999999999921</c:v>
                </c:pt>
                <c:pt idx="154">
                  <c:v>31.39999999999992</c:v>
                </c:pt>
                <c:pt idx="155">
                  <c:v>31.59999999999992</c:v>
                </c:pt>
                <c:pt idx="156">
                  <c:v>31.799999999999919</c:v>
                </c:pt>
                <c:pt idx="157">
                  <c:v>31.999999999999918</c:v>
                </c:pt>
                <c:pt idx="158">
                  <c:v>32.199999999999918</c:v>
                </c:pt>
                <c:pt idx="159">
                  <c:v>32.39999999999992</c:v>
                </c:pt>
                <c:pt idx="160">
                  <c:v>32.599999999999923</c:v>
                </c:pt>
                <c:pt idx="161">
                  <c:v>32.799999999999926</c:v>
                </c:pt>
                <c:pt idx="162">
                  <c:v>32.999999999999929</c:v>
                </c:pt>
                <c:pt idx="163">
                  <c:v>33.199999999999932</c:v>
                </c:pt>
                <c:pt idx="164">
                  <c:v>33.399999999999935</c:v>
                </c:pt>
                <c:pt idx="165">
                  <c:v>33.599999999999937</c:v>
                </c:pt>
                <c:pt idx="166">
                  <c:v>33.79999999999994</c:v>
                </c:pt>
                <c:pt idx="167">
                  <c:v>33.999999999999943</c:v>
                </c:pt>
                <c:pt idx="168">
                  <c:v>34.199999999999946</c:v>
                </c:pt>
                <c:pt idx="169">
                  <c:v>34.399999999999949</c:v>
                </c:pt>
                <c:pt idx="170">
                  <c:v>34.599999999999952</c:v>
                </c:pt>
                <c:pt idx="171">
                  <c:v>34.799999999999955</c:v>
                </c:pt>
                <c:pt idx="172">
                  <c:v>34.999999999999957</c:v>
                </c:pt>
                <c:pt idx="173">
                  <c:v>35.19999999999996</c:v>
                </c:pt>
                <c:pt idx="174">
                  <c:v>35.399999999999963</c:v>
                </c:pt>
                <c:pt idx="175">
                  <c:v>35.599999999999966</c:v>
                </c:pt>
                <c:pt idx="176">
                  <c:v>35.799999999999969</c:v>
                </c:pt>
                <c:pt idx="177">
                  <c:v>35.999999999999972</c:v>
                </c:pt>
                <c:pt idx="178">
                  <c:v>36.199999999999974</c:v>
                </c:pt>
                <c:pt idx="179">
                  <c:v>36.399999999999977</c:v>
                </c:pt>
                <c:pt idx="180">
                  <c:v>36.59999999999998</c:v>
                </c:pt>
                <c:pt idx="181">
                  <c:v>36.799999999999983</c:v>
                </c:pt>
                <c:pt idx="182">
                  <c:v>36.999999999999986</c:v>
                </c:pt>
                <c:pt idx="183">
                  <c:v>37.199999999999989</c:v>
                </c:pt>
                <c:pt idx="184">
                  <c:v>37.399999999999991</c:v>
                </c:pt>
                <c:pt idx="185">
                  <c:v>37.599999999999994</c:v>
                </c:pt>
                <c:pt idx="186">
                  <c:v>37.799999999999997</c:v>
                </c:pt>
                <c:pt idx="187">
                  <c:v>38</c:v>
                </c:pt>
                <c:pt idx="188">
                  <c:v>38.200000000000003</c:v>
                </c:pt>
                <c:pt idx="189">
                  <c:v>38.400000000000006</c:v>
                </c:pt>
                <c:pt idx="190">
                  <c:v>38.600000000000009</c:v>
                </c:pt>
                <c:pt idx="191">
                  <c:v>38.800000000000011</c:v>
                </c:pt>
                <c:pt idx="192">
                  <c:v>39.000000000000014</c:v>
                </c:pt>
                <c:pt idx="193">
                  <c:v>39.200000000000017</c:v>
                </c:pt>
                <c:pt idx="194">
                  <c:v>39.40000000000002</c:v>
                </c:pt>
                <c:pt idx="195">
                  <c:v>39.600000000000023</c:v>
                </c:pt>
                <c:pt idx="196">
                  <c:v>39.800000000000026</c:v>
                </c:pt>
                <c:pt idx="197">
                  <c:v>40.000000000000028</c:v>
                </c:pt>
                <c:pt idx="198">
                  <c:v>40.200000000000031</c:v>
                </c:pt>
                <c:pt idx="199">
                  <c:v>40.400000000000034</c:v>
                </c:pt>
                <c:pt idx="200">
                  <c:v>40.600000000000037</c:v>
                </c:pt>
                <c:pt idx="201">
                  <c:v>40.80000000000004</c:v>
                </c:pt>
                <c:pt idx="202">
                  <c:v>41.000000000000043</c:v>
                </c:pt>
                <c:pt idx="203">
                  <c:v>41.200000000000045</c:v>
                </c:pt>
                <c:pt idx="204">
                  <c:v>41.400000000000048</c:v>
                </c:pt>
                <c:pt idx="205">
                  <c:v>41.600000000000051</c:v>
                </c:pt>
                <c:pt idx="206">
                  <c:v>41.800000000000054</c:v>
                </c:pt>
                <c:pt idx="207">
                  <c:v>42.000000000000057</c:v>
                </c:pt>
                <c:pt idx="208">
                  <c:v>42.20000000000006</c:v>
                </c:pt>
                <c:pt idx="209">
                  <c:v>42.400000000000063</c:v>
                </c:pt>
                <c:pt idx="210">
                  <c:v>42.600000000000065</c:v>
                </c:pt>
                <c:pt idx="211">
                  <c:v>42.800000000000068</c:v>
                </c:pt>
                <c:pt idx="212">
                  <c:v>43.000000000000071</c:v>
                </c:pt>
                <c:pt idx="213">
                  <c:v>43.200000000000074</c:v>
                </c:pt>
                <c:pt idx="214">
                  <c:v>43.400000000000077</c:v>
                </c:pt>
                <c:pt idx="215">
                  <c:v>43.60000000000008</c:v>
                </c:pt>
                <c:pt idx="216">
                  <c:v>43.800000000000082</c:v>
                </c:pt>
                <c:pt idx="217">
                  <c:v>44.000000000000085</c:v>
                </c:pt>
                <c:pt idx="218">
                  <c:v>44.200000000000088</c:v>
                </c:pt>
                <c:pt idx="219">
                  <c:v>44.400000000000091</c:v>
                </c:pt>
                <c:pt idx="220">
                  <c:v>44.600000000000094</c:v>
                </c:pt>
                <c:pt idx="221">
                  <c:v>44.800000000000097</c:v>
                </c:pt>
                <c:pt idx="222">
                  <c:v>45.000000000000099</c:v>
                </c:pt>
                <c:pt idx="223">
                  <c:v>45.200000000000102</c:v>
                </c:pt>
                <c:pt idx="224">
                  <c:v>45.400000000000105</c:v>
                </c:pt>
                <c:pt idx="225">
                  <c:v>45.600000000000108</c:v>
                </c:pt>
                <c:pt idx="226">
                  <c:v>45.800000000000111</c:v>
                </c:pt>
                <c:pt idx="227">
                  <c:v>46.000000000000114</c:v>
                </c:pt>
                <c:pt idx="228">
                  <c:v>46.200000000000117</c:v>
                </c:pt>
                <c:pt idx="229">
                  <c:v>46.400000000000119</c:v>
                </c:pt>
                <c:pt idx="230">
                  <c:v>46.600000000000122</c:v>
                </c:pt>
                <c:pt idx="231">
                  <c:v>46.800000000000125</c:v>
                </c:pt>
                <c:pt idx="232">
                  <c:v>47.000000000000128</c:v>
                </c:pt>
                <c:pt idx="233">
                  <c:v>47.200000000000131</c:v>
                </c:pt>
                <c:pt idx="234">
                  <c:v>47.400000000000134</c:v>
                </c:pt>
                <c:pt idx="235">
                  <c:v>47.600000000000136</c:v>
                </c:pt>
                <c:pt idx="236">
                  <c:v>47.800000000000139</c:v>
                </c:pt>
                <c:pt idx="237">
                  <c:v>48.000000000000142</c:v>
                </c:pt>
                <c:pt idx="238">
                  <c:v>48.200000000000145</c:v>
                </c:pt>
                <c:pt idx="239">
                  <c:v>48.400000000000148</c:v>
                </c:pt>
                <c:pt idx="240">
                  <c:v>48.600000000000151</c:v>
                </c:pt>
                <c:pt idx="241">
                  <c:v>48.800000000000153</c:v>
                </c:pt>
                <c:pt idx="242">
                  <c:v>49.000000000000156</c:v>
                </c:pt>
                <c:pt idx="243">
                  <c:v>49.200000000000159</c:v>
                </c:pt>
                <c:pt idx="244">
                  <c:v>49.400000000000162</c:v>
                </c:pt>
                <c:pt idx="245">
                  <c:v>49.600000000000165</c:v>
                </c:pt>
                <c:pt idx="246">
                  <c:v>49.800000000000168</c:v>
                </c:pt>
                <c:pt idx="247">
                  <c:v>50.000000000000171</c:v>
                </c:pt>
              </c:numCache>
            </c:numRef>
          </c:xVal>
          <c:yVal>
            <c:numRef>
              <c:f>'Notch Filter Delta Connection'!$BA$3:$BA$250</c:f>
              <c:numCache>
                <c:formatCode>General</c:formatCode>
                <c:ptCount val="248"/>
                <c:pt idx="0">
                  <c:v>17.305602178893849</c:v>
                </c:pt>
                <c:pt idx="1">
                  <c:v>14.106584683594042</c:v>
                </c:pt>
                <c:pt idx="2">
                  <c:v>11.772520209776323</c:v>
                </c:pt>
                <c:pt idx="3">
                  <c:v>9.9790513976706325</c:v>
                </c:pt>
                <c:pt idx="4">
                  <c:v>8.545979720900938</c:v>
                </c:pt>
                <c:pt idx="5">
                  <c:v>7.3651860720179254</c:v>
                </c:pt>
                <c:pt idx="6">
                  <c:v>6.3678673933231842</c:v>
                </c:pt>
                <c:pt idx="7">
                  <c:v>5.5081549938321208</c:v>
                </c:pt>
                <c:pt idx="8">
                  <c:v>4.7542936454524813</c:v>
                </c:pt>
                <c:pt idx="9">
                  <c:v>4.0836010705226169</c:v>
                </c:pt>
                <c:pt idx="10">
                  <c:v>3.4794436413451382</c:v>
                </c:pt>
                <c:pt idx="11">
                  <c:v>2.9293462055383204</c:v>
                </c:pt>
                <c:pt idx="12">
                  <c:v>2.4237690586509006</c:v>
                </c:pt>
                <c:pt idx="13">
                  <c:v>1.9552926533136934</c:v>
                </c:pt>
                <c:pt idx="14">
                  <c:v>1.5180599269015891</c:v>
                </c:pt>
                <c:pt idx="15">
                  <c:v>1.1073864319720839</c:v>
                </c:pt>
                <c:pt idx="16">
                  <c:v>0.71948400523933176</c:v>
                </c:pt>
                <c:pt idx="17">
                  <c:v>0.35127619061594884</c:v>
                </c:pt>
                <c:pt idx="18">
                  <c:v>8.6841295433332105E-3</c:v>
                </c:pt>
                <c:pt idx="19">
                  <c:v>0.33632377423584303</c:v>
                </c:pt>
                <c:pt idx="20">
                  <c:v>0.6593181458392815</c:v>
                </c:pt>
                <c:pt idx="21">
                  <c:v>0.9707055124354057</c:v>
                </c:pt>
                <c:pt idx="22">
                  <c:v>1.2717521661929549</c:v>
                </c:pt>
                <c:pt idx="24">
                  <c:v>1.5635615312754585</c:v>
                </c:pt>
                <c:pt idx="25">
                  <c:v>1.8470877379141728</c:v>
                </c:pt>
                <c:pt idx="26">
                  <c:v>2.1231585006940268</c:v>
                </c:pt>
                <c:pt idx="27">
                  <c:v>2.3924950232738618</c:v>
                </c:pt>
                <c:pt idx="28">
                  <c:v>2.6557284841286202</c:v>
                </c:pt>
                <c:pt idx="29">
                  <c:v>2.9134136159890978</c:v>
                </c:pt>
                <c:pt idx="30">
                  <c:v>3.1660399210661319</c:v>
                </c:pt>
                <c:pt idx="31">
                  <c:v>3.4140409766803677</c:v>
                </c:pt>
                <c:pt idx="32">
                  <c:v>3.6578021957944511</c:v>
                </c:pt>
                <c:pt idx="33">
                  <c:v>3.8976673319217303</c:v>
                </c:pt>
                <c:pt idx="34">
                  <c:v>4.1339439584195921</c:v>
                </c:pt>
                <c:pt idx="35">
                  <c:v>4.3669081056233834</c:v>
                </c:pt>
                <c:pt idx="36">
                  <c:v>4.5968082028739303</c:v>
                </c:pt>
                <c:pt idx="37">
                  <c:v>4.8238684439395554</c:v>
                </c:pt>
                <c:pt idx="38">
                  <c:v>5.0482916718340141</c:v>
                </c:pt>
                <c:pt idx="39">
                  <c:v>5.2702618612099306</c:v>
                </c:pt>
                <c:pt idx="40">
                  <c:v>5.4899462623144633</c:v>
                </c:pt>
                <c:pt idx="42">
                  <c:v>5.7074972591313768</c:v>
                </c:pt>
                <c:pt idx="43">
                  <c:v>5.9230539851885773</c:v>
                </c:pt>
                <c:pt idx="44">
                  <c:v>6.1367437331146899</c:v>
                </c:pt>
                <c:pt idx="45">
                  <c:v>6.3486831880164862</c:v>
                </c:pt>
                <c:pt idx="46">
                  <c:v>6.5589795098419286</c:v>
                </c:pt>
                <c:pt idx="47">
                  <c:v>6.7677312858676437</c:v>
                </c:pt>
                <c:pt idx="48">
                  <c:v>6.9750293711349425</c:v>
                </c:pt>
                <c:pt idx="49">
                  <c:v>7.1809576319170985</c:v>
                </c:pt>
                <c:pt idx="50">
                  <c:v>7.3855936050236481</c:v>
                </c:pt>
                <c:pt idx="51">
                  <c:v>7.589009083851348</c:v>
                </c:pt>
                <c:pt idx="52">
                  <c:v>7.7912706405042345</c:v>
                </c:pt>
                <c:pt idx="53">
                  <c:v>7.9924400919735774</c:v>
                </c:pt>
                <c:pt idx="54">
                  <c:v>8.19257491724772</c:v>
                </c:pt>
                <c:pt idx="55">
                  <c:v>8.3917286312733079</c:v>
                </c:pt>
                <c:pt idx="56">
                  <c:v>8.5899511208873971</c:v>
                </c:pt>
                <c:pt idx="57">
                  <c:v>8.7872889471569593</c:v>
                </c:pt>
                <c:pt idx="58">
                  <c:v>8.9837856179804554</c:v>
                </c:pt>
                <c:pt idx="59">
                  <c:v>9.179481834309076</c:v>
                </c:pt>
                <c:pt idx="60">
                  <c:v>9.3744157129184629</c:v>
                </c:pt>
                <c:pt idx="61">
                  <c:v>9.5686229882964096</c:v>
                </c:pt>
                <c:pt idx="62">
                  <c:v>9.7621371958939527</c:v>
                </c:pt>
                <c:pt idx="63">
                  <c:v>9.9549898387183298</c:v>
                </c:pt>
                <c:pt idx="64">
                  <c:v>10.147210539007402</c:v>
                </c:pt>
                <c:pt idx="65">
                  <c:v>10.33882717651958</c:v>
                </c:pt>
                <c:pt idx="66">
                  <c:v>10.529866014801174</c:v>
                </c:pt>
                <c:pt idx="67">
                  <c:v>10.720351816629149</c:v>
                </c:pt>
                <c:pt idx="68">
                  <c:v>10.910307949698019</c:v>
                </c:pt>
                <c:pt idx="69">
                  <c:v>11.09975648350078</c:v>
                </c:pt>
                <c:pt idx="70">
                  <c:v>11.288718278246257</c:v>
                </c:pt>
                <c:pt idx="71">
                  <c:v>11.477213066567371</c:v>
                </c:pt>
                <c:pt idx="72">
                  <c:v>11.665259528692209</c:v>
                </c:pt>
                <c:pt idx="73">
                  <c:v>11.852875361681223</c:v>
                </c:pt>
                <c:pt idx="74">
                  <c:v>12.040077343269397</c:v>
                </c:pt>
                <c:pt idx="75">
                  <c:v>12.226881390796317</c:v>
                </c:pt>
                <c:pt idx="76">
                  <c:v>12.413302615662072</c:v>
                </c:pt>
                <c:pt idx="77">
                  <c:v>12.599355373698646</c:v>
                </c:pt>
                <c:pt idx="78">
                  <c:v>12.785053311808465</c:v>
                </c:pt>
                <c:pt idx="79">
                  <c:v>12.97040941119336</c:v>
                </c:pt>
                <c:pt idx="80">
                  <c:v>13.155436027455911</c:v>
                </c:pt>
                <c:pt idx="81">
                  <c:v>13.340144927837176</c:v>
                </c:pt>
                <c:pt idx="82">
                  <c:v>13.524547325827236</c:v>
                </c:pt>
                <c:pt idx="83">
                  <c:v>13.70865391335885</c:v>
                </c:pt>
                <c:pt idx="84">
                  <c:v>13.892474890782362</c:v>
                </c:pt>
                <c:pt idx="85">
                  <c:v>14.076019994796836</c:v>
                </c:pt>
                <c:pt idx="86">
                  <c:v>14.259298524497261</c:v>
                </c:pt>
                <c:pt idx="87">
                  <c:v>14.442319365685748</c:v>
                </c:pt>
                <c:pt idx="88">
                  <c:v>14.625091013580681</c:v>
                </c:pt>
                <c:pt idx="89">
                  <c:v>14.807621594043324</c:v>
                </c:pt>
                <c:pt idx="90">
                  <c:v>14.989918883436207</c:v>
                </c:pt>
                <c:pt idx="91">
                  <c:v>15.171990327212665</c:v>
                </c:pt>
                <c:pt idx="92">
                  <c:v>15.353843057334137</c:v>
                </c:pt>
                <c:pt idx="93">
                  <c:v>15.535483908597245</c:v>
                </c:pt>
                <c:pt idx="94">
                  <c:v>15.716919433951086</c:v>
                </c:pt>
                <c:pt idx="95">
                  <c:v>15.898155918878532</c:v>
                </c:pt>
                <c:pt idx="96">
                  <c:v>16.079199394903373</c:v>
                </c:pt>
                <c:pt idx="97">
                  <c:v>16.260055652288486</c:v>
                </c:pt>
                <c:pt idx="98">
                  <c:v>16.4407302519799</c:v>
                </c:pt>
                <c:pt idx="99">
                  <c:v>16.62122853684772</c:v>
                </c:pt>
                <c:pt idx="100">
                  <c:v>16.801555642271829</c:v>
                </c:pt>
                <c:pt idx="101">
                  <c:v>16.981716506117383</c:v>
                </c:pt>
                <c:pt idx="102">
                  <c:v>17.161715878141305</c:v>
                </c:pt>
                <c:pt idx="103">
                  <c:v>17.34155832886406</c:v>
                </c:pt>
                <c:pt idx="104">
                  <c:v>17.521248257945505</c:v>
                </c:pt>
                <c:pt idx="105">
                  <c:v>17.700789902095838</c:v>
                </c:pt>
                <c:pt idx="106">
                  <c:v>17.880187342549259</c:v>
                </c:pt>
                <c:pt idx="107">
                  <c:v>18.05944451213173</c:v>
                </c:pt>
                <c:pt idx="108">
                  <c:v>18.238565201945939</c:v>
                </c:pt>
                <c:pt idx="109">
                  <c:v>18.417553067698162</c:v>
                </c:pt>
                <c:pt idx="110">
                  <c:v>18.596411635689051</c:v>
                </c:pt>
                <c:pt idx="111">
                  <c:v>18.775144308489676</c:v>
                </c:pt>
                <c:pt idx="112">
                  <c:v>18.953754370320706</c:v>
                </c:pt>
                <c:pt idx="113">
                  <c:v>19.132244992154003</c:v>
                </c:pt>
                <c:pt idx="114">
                  <c:v>19.310619236552164</c:v>
                </c:pt>
                <c:pt idx="115">
                  <c:v>19.488880062262336</c:v>
                </c:pt>
                <c:pt idx="116">
                  <c:v>19.667030328577862</c:v>
                </c:pt>
                <c:pt idx="117">
                  <c:v>19.845072799482267</c:v>
                </c:pt>
                <c:pt idx="118">
                  <c:v>20.02301014758816</c:v>
                </c:pt>
                <c:pt idx="119">
                  <c:v>20.200844957881081</c:v>
                </c:pt>
                <c:pt idx="120">
                  <c:v>20.378579731282137</c:v>
                </c:pt>
                <c:pt idx="121">
                  <c:v>20.556216888038325</c:v>
                </c:pt>
                <c:pt idx="122">
                  <c:v>20.733758770947546</c:v>
                </c:pt>
                <c:pt idx="123">
                  <c:v>20.911207648434306</c:v>
                </c:pt>
                <c:pt idx="124">
                  <c:v>21.08856571747598</c:v>
                </c:pt>
                <c:pt idx="125">
                  <c:v>21.265835106394707</c:v>
                </c:pt>
                <c:pt idx="126">
                  <c:v>21.443017877518272</c:v>
                </c:pt>
                <c:pt idx="127">
                  <c:v>21.620116029718201</c:v>
                </c:pt>
                <c:pt idx="128">
                  <c:v>21.797131500831753</c:v>
                </c:pt>
                <c:pt idx="129">
                  <c:v>21.974066169973614</c:v>
                </c:pt>
                <c:pt idx="130">
                  <c:v>22.150921859744368</c:v>
                </c:pt>
                <c:pt idx="131">
                  <c:v>22.327700338338207</c:v>
                </c:pt>
                <c:pt idx="132">
                  <c:v>22.5044033215583</c:v>
                </c:pt>
                <c:pt idx="133">
                  <c:v>22.681032474743429</c:v>
                </c:pt>
                <c:pt idx="134">
                  <c:v>22.857589414609123</c:v>
                </c:pt>
                <c:pt idx="135">
                  <c:v>23.034075711009599</c:v>
                </c:pt>
                <c:pt idx="136">
                  <c:v>23.210492888623627</c:v>
                </c:pt>
                <c:pt idx="137">
                  <c:v>23.38684242856754</c:v>
                </c:pt>
                <c:pt idx="138">
                  <c:v>23.563125769940108</c:v>
                </c:pt>
                <c:pt idx="139">
                  <c:v>23.739344311302656</c:v>
                </c:pt>
                <c:pt idx="140">
                  <c:v>23.91549941209524</c:v>
                </c:pt>
                <c:pt idx="141">
                  <c:v>24.091592393996148</c:v>
                </c:pt>
                <c:pt idx="142">
                  <c:v>24.267624542223412</c:v>
                </c:pt>
                <c:pt idx="143">
                  <c:v>24.443597106783745</c:v>
                </c:pt>
                <c:pt idx="144">
                  <c:v>24.619511303670027</c:v>
                </c:pt>
                <c:pt idx="145">
                  <c:v>24.795368316010311</c:v>
                </c:pt>
                <c:pt idx="146">
                  <c:v>24.971169295171382</c:v>
                </c:pt>
                <c:pt idx="147">
                  <c:v>25.146915361816017</c:v>
                </c:pt>
                <c:pt idx="148">
                  <c:v>25.322607606921405</c:v>
                </c:pt>
                <c:pt idx="149">
                  <c:v>25.498247092754617</c:v>
                </c:pt>
                <c:pt idx="150">
                  <c:v>25.673834853810437</c:v>
                </c:pt>
                <c:pt idx="151">
                  <c:v>25.849371897714612</c:v>
                </c:pt>
                <c:pt idx="152">
                  <c:v>26.024859206089005</c:v>
                </c:pt>
                <c:pt idx="153">
                  <c:v>26.200297735385941</c:v>
                </c:pt>
                <c:pt idx="154">
                  <c:v>26.375688417689528</c:v>
                </c:pt>
                <c:pt idx="155">
                  <c:v>26.551032161486571</c:v>
                </c:pt>
                <c:pt idx="156">
                  <c:v>26.726329852409421</c:v>
                </c:pt>
                <c:pt idx="157">
                  <c:v>26.901582353948918</c:v>
                </c:pt>
                <c:pt idx="158">
                  <c:v>27.076790508143183</c:v>
                </c:pt>
                <c:pt idx="159">
                  <c:v>27.251955136239378</c:v>
                </c:pt>
                <c:pt idx="160">
                  <c:v>27.427077039330847</c:v>
                </c:pt>
                <c:pt idx="161">
                  <c:v>27.602156998972596</c:v>
                </c:pt>
                <c:pt idx="162">
                  <c:v>27.777195777772583</c:v>
                </c:pt>
                <c:pt idx="163">
                  <c:v>27.952194119962535</c:v>
                </c:pt>
                <c:pt idx="164">
                  <c:v>28.127152751948934</c:v>
                </c:pt>
                <c:pt idx="165">
                  <c:v>28.302072382841914</c:v>
                </c:pt>
                <c:pt idx="166">
                  <c:v>28.47695370496886</c:v>
                </c:pt>
                <c:pt idx="167">
                  <c:v>28.651797394366312</c:v>
                </c:pt>
                <c:pt idx="168">
                  <c:v>28.826604111257964</c:v>
                </c:pt>
                <c:pt idx="169">
                  <c:v>29.001374500512256</c:v>
                </c:pt>
                <c:pt idx="170">
                  <c:v>29.176109192088763</c:v>
                </c:pt>
                <c:pt idx="171">
                  <c:v>29.350808801464318</c:v>
                </c:pt>
                <c:pt idx="172">
                  <c:v>29.525473930047898</c:v>
                </c:pt>
                <c:pt idx="173">
                  <c:v>29.700105165580215</c:v>
                </c:pt>
                <c:pt idx="174">
                  <c:v>29.874703082519726</c:v>
                </c:pt>
                <c:pt idx="175">
                  <c:v>30.049268242415636</c:v>
                </c:pt>
                <c:pt idx="176">
                  <c:v>30.223801194268571</c:v>
                </c:pt>
                <c:pt idx="177">
                  <c:v>30.398302474879014</c:v>
                </c:pt>
                <c:pt idx="178">
                  <c:v>30.57277260918486</c:v>
                </c:pt>
                <c:pt idx="179">
                  <c:v>30.747212110586364</c:v>
                </c:pt>
                <c:pt idx="180">
                  <c:v>30.921621481262509</c:v>
                </c:pt>
                <c:pt idx="181">
                  <c:v>31.096001212474807</c:v>
                </c:pt>
                <c:pt idx="182">
                  <c:v>31.270351784863085</c:v>
                </c:pt>
                <c:pt idx="183">
                  <c:v>31.444673668731141</c:v>
                </c:pt>
                <c:pt idx="184">
                  <c:v>31.618967324322469</c:v>
                </c:pt>
                <c:pt idx="185">
                  <c:v>31.793233202088004</c:v>
                </c:pt>
                <c:pt idx="186">
                  <c:v>31.967471742945719</c:v>
                </c:pt>
                <c:pt idx="187">
                  <c:v>32.141683378531006</c:v>
                </c:pt>
                <c:pt idx="188">
                  <c:v>32.31586853143947</c:v>
                </c:pt>
                <c:pt idx="189">
                  <c:v>32.490027615462871</c:v>
                </c:pt>
                <c:pt idx="190">
                  <c:v>32.664161035817479</c:v>
                </c:pt>
                <c:pt idx="191">
                  <c:v>32.838269189363487</c:v>
                </c:pt>
                <c:pt idx="192">
                  <c:v>33.012352464821312</c:v>
                </c:pt>
                <c:pt idx="193">
                  <c:v>33.186411242977805</c:v>
                </c:pt>
                <c:pt idx="194">
                  <c:v>33.360445896888422</c:v>
                </c:pt>
                <c:pt idx="195">
                  <c:v>33.534456792071765</c:v>
                </c:pt>
                <c:pt idx="196">
                  <c:v>33.708444286699738</c:v>
                </c:pt>
                <c:pt idx="197">
                  <c:v>33.882408731780671</c:v>
                </c:pt>
                <c:pt idx="198">
                  <c:v>34.056350471337325</c:v>
                </c:pt>
                <c:pt idx="199">
                  <c:v>34.230269842580661</c:v>
                </c:pt>
                <c:pt idx="200">
                  <c:v>34.404167176076676</c:v>
                </c:pt>
                <c:pt idx="201">
                  <c:v>34.57804279590998</c:v>
                </c:pt>
                <c:pt idx="202">
                  <c:v>34.751897019841493</c:v>
                </c:pt>
                <c:pt idx="203">
                  <c:v>34.925730159461878</c:v>
                </c:pt>
                <c:pt idx="204">
                  <c:v>35.099542520340798</c:v>
                </c:pt>
                <c:pt idx="205">
                  <c:v>35.273334402171606</c:v>
                </c:pt>
                <c:pt idx="206">
                  <c:v>35.447106098912037</c:v>
                </c:pt>
                <c:pt idx="207">
                  <c:v>35.620857898920192</c:v>
                </c:pt>
                <c:pt idx="208">
                  <c:v>35.794590085088203</c:v>
                </c:pt>
                <c:pt idx="209">
                  <c:v>35.968302934970296</c:v>
                </c:pt>
                <c:pt idx="210">
                  <c:v>36.141996720908658</c:v>
                </c:pt>
                <c:pt idx="211">
                  <c:v>36.31567171015454</c:v>
                </c:pt>
                <c:pt idx="212">
                  <c:v>36.489328164987455</c:v>
                </c:pt>
                <c:pt idx="213">
                  <c:v>36.662966342829982</c:v>
                </c:pt>
                <c:pt idx="214">
                  <c:v>36.836586496358947</c:v>
                </c:pt>
                <c:pt idx="215">
                  <c:v>37.010188873615697</c:v>
                </c:pt>
                <c:pt idx="216">
                  <c:v>37.18377371811075</c:v>
                </c:pt>
                <c:pt idx="217">
                  <c:v>37.357341268926874</c:v>
                </c:pt>
                <c:pt idx="218">
                  <c:v>37.530891760820225</c:v>
                </c:pt>
                <c:pt idx="219">
                  <c:v>37.704425424316597</c:v>
                </c:pt>
                <c:pt idx="220">
                  <c:v>37.877942485806976</c:v>
                </c:pt>
                <c:pt idx="221">
                  <c:v>38.051443167639754</c:v>
                </c:pt>
                <c:pt idx="222">
                  <c:v>38.224927688210073</c:v>
                </c:pt>
                <c:pt idx="223">
                  <c:v>38.39839626204823</c:v>
                </c:pt>
                <c:pt idx="224">
                  <c:v>38.571849099903659</c:v>
                </c:pt>
                <c:pt idx="225">
                  <c:v>38.745286408829124</c:v>
                </c:pt>
                <c:pt idx="226">
                  <c:v>38.918708392260079</c:v>
                </c:pt>
                <c:pt idx="227">
                  <c:v>39.092115250094274</c:v>
                </c:pt>
                <c:pt idx="228">
                  <c:v>39.265507178768196</c:v>
                </c:pt>
                <c:pt idx="229">
                  <c:v>39.438884371331028</c:v>
                </c:pt>
                <c:pt idx="230">
                  <c:v>39.612247017518456</c:v>
                </c:pt>
                <c:pt idx="231">
                  <c:v>39.785595303822106</c:v>
                </c:pt>
                <c:pt idx="232">
                  <c:v>39.958929413559879</c:v>
                </c:pt>
                <c:pt idx="233">
                  <c:v>40.132249526942182</c:v>
                </c:pt>
                <c:pt idx="234">
                  <c:v>40.30555582113805</c:v>
                </c:pt>
                <c:pt idx="235">
                  <c:v>40.478848470339038</c:v>
                </c:pt>
                <c:pt idx="236">
                  <c:v>40.652127645820975</c:v>
                </c:pt>
                <c:pt idx="237">
                  <c:v>40.825393516005718</c:v>
                </c:pt>
                <c:pt idx="238">
                  <c:v>40.998646246518923</c:v>
                </c:pt>
                <c:pt idx="239">
                  <c:v>41.171886000249373</c:v>
                </c:pt>
                <c:pt idx="240">
                  <c:v>41.345112937404032</c:v>
                </c:pt>
                <c:pt idx="241">
                  <c:v>41.518327215563986</c:v>
                </c:pt>
                <c:pt idx="242">
                  <c:v>41.691528989737137</c:v>
                </c:pt>
                <c:pt idx="243">
                  <c:v>41.864718412411072</c:v>
                </c:pt>
                <c:pt idx="244">
                  <c:v>42.037895633604187</c:v>
                </c:pt>
                <c:pt idx="245">
                  <c:v>42.211060800914808</c:v>
                </c:pt>
                <c:pt idx="246">
                  <c:v>42.384214059570446</c:v>
                </c:pt>
                <c:pt idx="247">
                  <c:v>42.557355552475329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1D4-4493-9101-2EBEF1FF5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150016"/>
        <c:axId val="24151936"/>
      </c:scatterChart>
      <c:valAx>
        <c:axId val="24150016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sz="1600" b="0"/>
                </a:pPr>
                <a:r>
                  <a:rPr lang="en-US" sz="1600" b="0"/>
                  <a:t>Harmonic #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4151936"/>
        <c:crosses val="autoZero"/>
        <c:crossBetween val="midCat"/>
        <c:majorUnit val="5"/>
        <c:minorUnit val="1"/>
      </c:valAx>
      <c:valAx>
        <c:axId val="24151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600" b="0"/>
                </a:pPr>
                <a:r>
                  <a:rPr lang="en-US" sz="1600" b="0"/>
                  <a:t>Filter Impedance (ohms)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415001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Scroll" dx="16" fmlaLink="$D$9" horiz="1" max="20000" page="0" val="2100"/>
</file>

<file path=xl/ctrlProps/ctrlProp2.xml><?xml version="1.0" encoding="utf-8"?>
<formControlPr xmlns="http://schemas.microsoft.com/office/spreadsheetml/2009/9/main" objectType="Scroll" dx="16" fmlaLink="$D$9" horiz="1" max="20000" page="0" val="4300"/>
</file>

<file path=xl/ctrlProps/ctrlProp3.xml><?xml version="1.0" encoding="utf-8"?>
<formControlPr xmlns="http://schemas.microsoft.com/office/spreadsheetml/2009/9/main" objectType="Scroll" dx="16" fmlaLink="BH8" horiz="1" max="2000" min="1" page="0" val="499"/>
</file>

<file path=xl/ctrlProps/ctrlProp4.xml><?xml version="1.0" encoding="utf-8"?>
<formControlPr xmlns="http://schemas.microsoft.com/office/spreadsheetml/2009/9/main" objectType="Scroll" dx="16" fmlaLink="$D$9" horiz="1" max="20000" page="0" val="5000"/>
</file>

<file path=xl/ctrlProps/ctrlProp5.xml><?xml version="1.0" encoding="utf-8"?>
<formControlPr xmlns="http://schemas.microsoft.com/office/spreadsheetml/2009/9/main" objectType="Scroll" dx="16" fmlaLink="BH8" horiz="1" max="2000" min="1" page="0" val="200"/>
</file>

<file path=xl/ctrlProps/ctrlProp6.xml><?xml version="1.0" encoding="utf-8"?>
<formControlPr xmlns="http://schemas.microsoft.com/office/spreadsheetml/2009/9/main" objectType="Scroll" dx="16" fmlaLink="$D$9" horiz="1" max="20000" page="0" val="100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tmp"/><Relationship Id="rId6" Type="http://schemas.openxmlformats.org/officeDocument/2006/relationships/image" Target="../media/image4.tmp"/><Relationship Id="rId5" Type="http://schemas.openxmlformats.org/officeDocument/2006/relationships/chart" Target="../charts/chart1.xml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9.png"/><Relationship Id="rId2" Type="http://schemas.microsoft.com/office/2007/relationships/hdphoto" Target="../media/hdphoto2.wdp"/><Relationship Id="rId1" Type="http://schemas.openxmlformats.org/officeDocument/2006/relationships/image" Target="../media/image6.png"/><Relationship Id="rId6" Type="http://schemas.openxmlformats.org/officeDocument/2006/relationships/image" Target="../media/image8.tmp"/><Relationship Id="rId5" Type="http://schemas.openxmlformats.org/officeDocument/2006/relationships/image" Target="../media/image7.tmp"/><Relationship Id="rId4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3.wdp"/><Relationship Id="rId1" Type="http://schemas.openxmlformats.org/officeDocument/2006/relationships/image" Target="../media/image10.png"/><Relationship Id="rId6" Type="http://schemas.openxmlformats.org/officeDocument/2006/relationships/image" Target="../media/image12.png"/><Relationship Id="rId5" Type="http://schemas.openxmlformats.org/officeDocument/2006/relationships/image" Target="../media/image11.tmp"/><Relationship Id="rId4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chart" Target="../charts/chart4.xml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4.tmp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95251</xdr:colOff>
      <xdr:row>28</xdr:row>
      <xdr:rowOff>216256</xdr:rowOff>
    </xdr:from>
    <xdr:to>
      <xdr:col>39</xdr:col>
      <xdr:colOff>551738</xdr:colOff>
      <xdr:row>48</xdr:row>
      <xdr:rowOff>146860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1"/>
        <a:stretch/>
      </xdr:blipFill>
      <xdr:spPr>
        <a:xfrm>
          <a:off x="30139822" y="7482470"/>
          <a:ext cx="5967380" cy="6081033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24</xdr:row>
      <xdr:rowOff>57150</xdr:rowOff>
    </xdr:from>
    <xdr:ext cx="2247900" cy="37542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SpPr txBox="1"/>
          </xdr:nvSpPr>
          <xdr:spPr>
            <a:xfrm>
              <a:off x="4724400" y="6019800"/>
              <a:ext cx="2247900" cy="37542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n-US" sz="1200" b="0" i="1">
                      <a:latin typeface="Cambria Math"/>
                    </a:rPr>
                    <m:t>𝐻</m:t>
                  </m:r>
                  <m:r>
                    <a:rPr lang="en-US" sz="1200" b="0" i="1">
                      <a:latin typeface="Cambria Math"/>
                      <a:ea typeface="Cambria Math"/>
                    </a:rPr>
                    <m:t>=</m:t>
                  </m:r>
                  <m:f>
                    <m:fPr>
                      <m:ctrlPr>
                        <a:rPr lang="en-US" sz="1200" b="0" i="1">
                          <a:latin typeface="Cambria Math" panose="02040503050406030204" pitchFamily="18" charset="0"/>
                          <a:ea typeface="Cambria Math"/>
                        </a:rPr>
                      </m:ctrlPr>
                    </m:fPr>
                    <m:num>
                      <m:sSub>
                        <m:sSubPr>
                          <m:ctrlPr>
                            <a:rPr lang="en-US" sz="1200" b="0" i="1">
                              <a:latin typeface="Cambria Math" panose="02040503050406030204" pitchFamily="18" charset="0"/>
                              <a:ea typeface="Cambria Math"/>
                            </a:rPr>
                          </m:ctrlPr>
                        </m:sSubPr>
                        <m:e>
                          <m:r>
                            <a:rPr lang="en-US" sz="1200" b="0" i="1">
                              <a:latin typeface="Cambria Math"/>
                              <a:ea typeface="Cambria Math"/>
                            </a:rPr>
                            <m:t>𝑋</m:t>
                          </m:r>
                        </m:e>
                        <m:sub>
                          <m:r>
                            <a:rPr lang="en-US" sz="1200" b="0" i="1">
                              <a:latin typeface="Cambria Math"/>
                              <a:ea typeface="Cambria Math"/>
                            </a:rPr>
                            <m:t>𝐿</m:t>
                          </m:r>
                        </m:sub>
                      </m:sSub>
                    </m:num>
                    <m:den>
                      <m:r>
                        <a:rPr lang="en-US" sz="1200" b="0" i="1">
                          <a:latin typeface="Cambria Math"/>
                          <a:ea typeface="Cambria Math"/>
                        </a:rPr>
                        <m:t>2</m:t>
                      </m:r>
                      <m:r>
                        <a:rPr lang="en-US" sz="1200" b="0" i="1">
                          <a:latin typeface="Cambria Math"/>
                          <a:ea typeface="Cambria Math"/>
                        </a:rPr>
                        <m:t>𝜋</m:t>
                      </m:r>
                      <m:r>
                        <a:rPr lang="en-US" sz="1200" b="0" i="1">
                          <a:latin typeface="Cambria Math"/>
                          <a:ea typeface="Cambria Math"/>
                        </a:rPr>
                        <m:t>𝑓</m:t>
                      </m:r>
                    </m:den>
                  </m:f>
                  <m:r>
                    <a:rPr lang="en-US" sz="1200" b="0" i="1">
                      <a:latin typeface="Cambria Math"/>
                      <a:ea typeface="Cambria Math"/>
                    </a:rPr>
                    <m:t>×1000</m:t>
                  </m:r>
                </m:oMath>
              </a14:m>
              <a:r>
                <a:rPr lang="en-US" sz="1200"/>
                <a:t> (mH)</a:t>
              </a:r>
            </a:p>
          </xdr:txBody>
        </xdr:sp>
      </mc:Choice>
      <mc:Fallback xmlns="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43E79F5C-7C87-4797-AD7D-014585E1D909}"/>
                </a:ext>
              </a:extLst>
            </xdr:cNvPr>
            <xdr:cNvSpPr txBox="1"/>
          </xdr:nvSpPr>
          <xdr:spPr>
            <a:xfrm>
              <a:off x="4724400" y="6019800"/>
              <a:ext cx="2247900" cy="37542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1200" b="0" i="0">
                  <a:latin typeface="Cambria Math"/>
                </a:rPr>
                <a:t>𝐻</a:t>
              </a:r>
              <a:r>
                <a:rPr lang="en-US" sz="1200" b="0" i="0">
                  <a:latin typeface="Cambria Math"/>
                  <a:ea typeface="Cambria Math"/>
                </a:rPr>
                <a:t>=𝑋</a:t>
              </a:r>
              <a:r>
                <a:rPr lang="en-US" sz="1200" b="0" i="0">
                  <a:latin typeface="Cambria Math" panose="02040503050406030204" pitchFamily="18" charset="0"/>
                  <a:ea typeface="Cambria Math"/>
                </a:rPr>
                <a:t>_</a:t>
              </a:r>
              <a:r>
                <a:rPr lang="en-US" sz="1200" b="0" i="0">
                  <a:latin typeface="Cambria Math"/>
                  <a:ea typeface="Cambria Math"/>
                </a:rPr>
                <a:t>𝐿</a:t>
              </a:r>
              <a:r>
                <a:rPr lang="en-US" sz="1200" b="0" i="0">
                  <a:latin typeface="Cambria Math" panose="02040503050406030204" pitchFamily="18" charset="0"/>
                  <a:ea typeface="Cambria Math"/>
                </a:rPr>
                <a:t>/</a:t>
              </a:r>
              <a:r>
                <a:rPr lang="en-US" sz="1200" b="0" i="0">
                  <a:latin typeface="Cambria Math"/>
                  <a:ea typeface="Cambria Math"/>
                </a:rPr>
                <a:t>2𝜋𝑓×1000</a:t>
              </a:r>
              <a:r>
                <a:rPr lang="en-US" sz="1200"/>
                <a:t> (mH)</a:t>
              </a:r>
            </a:p>
          </xdr:txBody>
        </xdr:sp>
      </mc:Fallback>
    </mc:AlternateContent>
    <xdr:clientData/>
  </xdr:oneCellAnchor>
  <xdr:oneCellAnchor>
    <xdr:from>
      <xdr:col>4</xdr:col>
      <xdr:colOff>828674</xdr:colOff>
      <xdr:row>28</xdr:row>
      <xdr:rowOff>38100</xdr:rowOff>
    </xdr:from>
    <xdr:ext cx="3743326" cy="35163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SpPr txBox="1"/>
          </xdr:nvSpPr>
          <xdr:spPr>
            <a:xfrm>
              <a:off x="4724399" y="7239000"/>
              <a:ext cx="3743326" cy="35163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US" sz="1000" b="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sSub>
                        <m:sSubPr>
                          <m:ctrlPr>
                            <a:rPr lang="en-US" sz="1000" b="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n-US" sz="1000" b="0" i="1">
                              <a:latin typeface="Cambria Math"/>
                            </a:rPr>
                            <m:t>𝑄</m:t>
                          </m:r>
                        </m:e>
                        <m:sub>
                          <m:r>
                            <a:rPr lang="en-US" sz="1000" b="0" i="1">
                              <a:latin typeface="Cambria Math"/>
                            </a:rPr>
                            <m:t>𝑅𝐴𝑇𝐸𝐷</m:t>
                          </m:r>
                          <m:r>
                            <a:rPr lang="en-US" sz="1000" b="0" i="1">
                              <a:latin typeface="Cambria Math"/>
                            </a:rPr>
                            <m:t> </m:t>
                          </m:r>
                          <m:r>
                            <a:rPr lang="en-US" sz="1000" b="0" i="1">
                              <a:latin typeface="Cambria Math"/>
                            </a:rPr>
                            <m:t>𝑃𝐸𝑅</m:t>
                          </m:r>
                          <m:r>
                            <a:rPr lang="en-US" sz="1000" b="0" i="1">
                              <a:latin typeface="Cambria Math"/>
                            </a:rPr>
                            <m:t> </m:t>
                          </m:r>
                          <m:r>
                            <a:rPr lang="en-US" sz="1000" b="0" i="1">
                              <a:latin typeface="Cambria Math"/>
                            </a:rPr>
                            <m:t>𝑃𝐻𝐴𝑆𝐸</m:t>
                          </m:r>
                        </m:sub>
                      </m:sSub>
                      <m:r>
                        <a:rPr lang="en-US" sz="1000" b="0" i="1">
                          <a:latin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  <a:ea typeface="Cambria Math"/>
                        </a:rPr>
                        <m:t>=</m:t>
                      </m:r>
                      <m:f>
                        <m:fPr>
                          <m:ctrlPr>
                            <a:rPr lang="en-US" sz="1000" b="0" i="1">
                              <a:latin typeface="Cambria Math" panose="02040503050406030204" pitchFamily="18" charset="0"/>
                              <a:ea typeface="Cambria Math"/>
                            </a:rPr>
                          </m:ctrlPr>
                        </m:fPr>
                        <m:num>
                          <m:sSup>
                            <m:sSupPr>
                              <m:ctrlPr>
                                <a:rPr lang="en-US" sz="10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pPr>
                            <m:e>
                              <m:d>
                                <m:dPr>
                                  <m:ctrlP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dPr>
                                <m:e>
                                  <m:sSub>
                                    <m:sSubPr>
                                      <m:ctrlPr>
                                        <a:rPr lang="en-US" sz="1000" b="0" i="1">
                                          <a:solidFill>
                                            <a:schemeClr val="tx1"/>
                                          </a:solidFill>
                                          <a:effectLst/>
                                          <a:latin typeface="Cambria Math" panose="02040503050406030204" pitchFamily="18" charset="0"/>
                                          <a:ea typeface="+mn-ea"/>
                                          <a:cs typeface="+mn-cs"/>
                                        </a:rPr>
                                      </m:ctrlPr>
                                    </m:sSubPr>
                                    <m:e>
                                      <m:r>
                                        <a:rPr lang="en-US" sz="1000" b="0" i="1">
                                          <a:solidFill>
                                            <a:schemeClr val="tx1"/>
                                          </a:solidFill>
                                          <a:effectLst/>
                                          <a:latin typeface="Cambria Math"/>
                                          <a:ea typeface="+mn-ea"/>
                                          <a:cs typeface="+mn-cs"/>
                                        </a:rPr>
                                        <m:t>𝑉</m:t>
                                      </m:r>
                                    </m:e>
                                    <m:sub>
                                      <m:r>
                                        <a:rPr lang="en-US" sz="1000" b="0" i="1">
                                          <a:solidFill>
                                            <a:schemeClr val="tx1"/>
                                          </a:solidFill>
                                          <a:effectLst/>
                                          <a:latin typeface="Cambria Math"/>
                                          <a:ea typeface="+mn-ea"/>
                                          <a:cs typeface="+mn-cs"/>
                                        </a:rPr>
                                        <m:t>𝐶𝐴𝑃</m:t>
                                      </m:r>
                                      <m:r>
                                        <a:rPr lang="en-US" sz="1000" b="0" i="1">
                                          <a:solidFill>
                                            <a:schemeClr val="tx1"/>
                                          </a:solidFill>
                                          <a:effectLst/>
                                          <a:latin typeface="Cambria Math"/>
                                          <a:ea typeface="+mn-ea"/>
                                          <a:cs typeface="+mn-cs"/>
                                        </a:rPr>
                                        <m:t> </m:t>
                                      </m:r>
                                      <m:r>
                                        <a:rPr lang="en-US" sz="1000" b="0" i="1">
                                          <a:solidFill>
                                            <a:schemeClr val="tx1"/>
                                          </a:solidFill>
                                          <a:effectLst/>
                                          <a:latin typeface="Cambria Math"/>
                                          <a:ea typeface="+mn-ea"/>
                                          <a:cs typeface="+mn-cs"/>
                                        </a:rPr>
                                        <m:t>𝑅𝐴𝑇𝐼𝑁𝐺</m:t>
                                      </m:r>
                                    </m:sub>
                                  </m:sSub>
                                </m:e>
                              </m:d>
                            </m:e>
                            <m:sup>
                              <m:r>
                                <a:rPr lang="en-US" sz="10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2</m:t>
                              </m:r>
                            </m:sup>
                          </m:sSup>
                        </m:num>
                        <m:den>
                          <m:sSub>
                            <m:sSubPr>
                              <m:ctrlPr>
                                <a:rPr lang="en-US" sz="1000" b="0" i="1">
                                  <a:latin typeface="Cambria Math" panose="02040503050406030204" pitchFamily="18" charset="0"/>
                                  <a:ea typeface="Cambria Math"/>
                                </a:rPr>
                              </m:ctrlPr>
                            </m:sSubPr>
                            <m:e>
                              <m:r>
                                <a:rPr lang="en-US" sz="1000" b="0" i="1">
                                  <a:latin typeface="Cambria Math"/>
                                  <a:ea typeface="Cambria Math"/>
                                </a:rPr>
                                <m:t>𝑋</m:t>
                              </m:r>
                            </m:e>
                            <m:sub>
                              <m:r>
                                <a:rPr lang="en-US" sz="1000" b="0" i="1">
                                  <a:latin typeface="Cambria Math"/>
                                  <a:ea typeface="Cambria Math"/>
                                </a:rPr>
                                <m:t>𝐶</m:t>
                              </m:r>
                            </m:sub>
                          </m:sSub>
                        </m:den>
                      </m:f>
                      <m:r>
                        <a:rPr lang="en-US" sz="1000" b="0" i="1">
                          <a:latin typeface="Cambria Math"/>
                          <a:ea typeface="Cambria Math"/>
                        </a:rPr>
                        <m:t>×1000</m:t>
                      </m:r>
                    </m:e>
                    <m:sub/>
                  </m:sSub>
                </m:oMath>
              </a14:m>
              <a:r>
                <a:rPr lang="en-US" sz="1000" b="0"/>
                <a:t>(kvar/phase)</a:t>
              </a:r>
            </a:p>
          </xdr:txBody>
        </xdr:sp>
      </mc:Choice>
      <mc:Fallback xmlns="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988C1523-1030-425F-BDC1-BA7B686D91F8}"/>
                </a:ext>
              </a:extLst>
            </xdr:cNvPr>
            <xdr:cNvSpPr txBox="1"/>
          </xdr:nvSpPr>
          <xdr:spPr>
            <a:xfrm>
              <a:off x="4724399" y="7239000"/>
              <a:ext cx="3743326" cy="35163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1000" b="0" i="0">
                  <a:latin typeface="Cambria Math" panose="02040503050406030204" pitchFamily="18" charset="0"/>
                </a:rPr>
                <a:t>〖</a:t>
              </a:r>
              <a:r>
                <a:rPr lang="en-US" sz="1000" b="0" i="0">
                  <a:latin typeface="Cambria Math"/>
                </a:rPr>
                <a:t>𝑄</a:t>
              </a:r>
              <a:r>
                <a:rPr lang="en-US" sz="1000" b="0" i="0">
                  <a:latin typeface="Cambria Math" panose="02040503050406030204" pitchFamily="18" charset="0"/>
                </a:rPr>
                <a:t>_(</a:t>
              </a:r>
              <a:r>
                <a:rPr lang="en-US" sz="1000" b="0" i="0">
                  <a:latin typeface="Cambria Math"/>
                </a:rPr>
                <a:t>𝑅𝐴𝑇𝐸𝐷 𝑃𝐸𝑅 𝑃𝐻𝐴𝑆𝐸</a:t>
              </a:r>
              <a:r>
                <a:rPr lang="en-US" sz="1000" b="0" i="0">
                  <a:latin typeface="Cambria Math" panose="02040503050406030204" pitchFamily="18" charset="0"/>
                </a:rPr>
                <a:t>)</a:t>
              </a:r>
              <a:r>
                <a:rPr lang="en-US" sz="1000" b="0" i="0">
                  <a:latin typeface="Cambria Math"/>
                </a:rPr>
                <a:t>  </a:t>
              </a:r>
              <a:r>
                <a:rPr lang="en-US" sz="1000" b="0" i="0">
                  <a:latin typeface="Cambria Math"/>
                  <a:ea typeface="Cambria Math"/>
                </a:rPr>
                <a:t>=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𝑉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_(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𝐶𝐴𝑃 𝑅𝐴𝑇𝐼𝑁𝐺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 )^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/>
                  <a:cs typeface="+mn-cs"/>
                </a:rPr>
                <a:t>/</a:t>
              </a:r>
              <a:r>
                <a:rPr lang="en-US" sz="1000" b="0" i="0">
                  <a:latin typeface="Cambria Math"/>
                  <a:ea typeface="Cambria Math"/>
                </a:rPr>
                <a:t>𝑋</a:t>
              </a:r>
              <a:r>
                <a:rPr lang="en-US" sz="1000" b="0" i="0">
                  <a:latin typeface="Cambria Math" panose="02040503050406030204" pitchFamily="18" charset="0"/>
                  <a:ea typeface="Cambria Math"/>
                </a:rPr>
                <a:t>_</a:t>
              </a:r>
              <a:r>
                <a:rPr lang="en-US" sz="1000" b="0" i="0">
                  <a:latin typeface="Cambria Math"/>
                  <a:ea typeface="Cambria Math"/>
                </a:rPr>
                <a:t>𝐶</a:t>
              </a:r>
              <a:r>
                <a:rPr lang="en-US" sz="1000" b="0" i="0">
                  <a:latin typeface="Cambria Math" panose="02040503050406030204" pitchFamily="18" charset="0"/>
                  <a:ea typeface="Cambria Math"/>
                </a:rPr>
                <a:t> </a:t>
              </a:r>
              <a:r>
                <a:rPr lang="en-US" sz="1000" b="0" i="0">
                  <a:latin typeface="Cambria Math"/>
                  <a:ea typeface="Cambria Math"/>
                </a:rPr>
                <a:t>×1000</a:t>
              </a:r>
              <a:r>
                <a:rPr lang="en-US" sz="1000" b="0" i="0">
                  <a:latin typeface="Cambria Math" panose="02040503050406030204" pitchFamily="18" charset="0"/>
                  <a:ea typeface="Cambria Math"/>
                </a:rPr>
                <a:t>〗_</a:t>
              </a:r>
              <a:r>
                <a:rPr lang="en-US" sz="1000" b="0"/>
                <a:t>(kvar/phase)</a:t>
              </a:r>
            </a:p>
          </xdr:txBody>
        </xdr:sp>
      </mc:Fallback>
    </mc:AlternateContent>
    <xdr:clientData/>
  </xdr:oneCellAnchor>
  <xdr:oneCellAnchor>
    <xdr:from>
      <xdr:col>4</xdr:col>
      <xdr:colOff>923925</xdr:colOff>
      <xdr:row>33</xdr:row>
      <xdr:rowOff>400050</xdr:rowOff>
    </xdr:from>
    <xdr:ext cx="4419599" cy="24885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SpPr txBox="1"/>
          </xdr:nvSpPr>
          <xdr:spPr>
            <a:xfrm>
              <a:off x="4724400" y="9067800"/>
              <a:ext cx="4419599" cy="2488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US" sz="1000" b="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m:rPr>
                          <m:sty m:val="p"/>
                        </m:rPr>
                        <a:rPr lang="en-US" sz="1000" b="0" i="0">
                          <a:latin typeface="Cambria Math"/>
                        </a:rPr>
                        <m:t>V</m:t>
                      </m:r>
                    </m:e>
                    <m:sub>
                      <m:r>
                        <m:rPr>
                          <m:sty m:val="p"/>
                        </m:rPr>
                        <a:rPr lang="en-US" sz="1000" b="0" i="0">
                          <a:latin typeface="Cambria Math"/>
                        </a:rPr>
                        <m:t>CAP</m:t>
                      </m:r>
                      <m:r>
                        <a:rPr lang="en-US" sz="1000" b="0" i="0">
                          <a:latin typeface="Cambria Math"/>
                        </a:rPr>
                        <m:t> </m:t>
                      </m:r>
                      <m:r>
                        <m:rPr>
                          <m:sty m:val="p"/>
                        </m:rPr>
                        <a:rPr lang="en-US" sz="1000" b="0" i="0">
                          <a:latin typeface="Cambria Math"/>
                        </a:rPr>
                        <m:t>FUNDAMENTAL</m:t>
                      </m:r>
                      <m:r>
                        <a:rPr lang="en-US" sz="1000" b="0" i="0">
                          <a:latin typeface="Cambria Math"/>
                        </a:rPr>
                        <m:t> </m:t>
                      </m:r>
                      <m:r>
                        <m:rPr>
                          <m:sty m:val="p"/>
                        </m:rPr>
                        <a:rPr lang="en-US" sz="1000" b="0" i="0">
                          <a:latin typeface="Cambria Math"/>
                        </a:rPr>
                        <m:t>VOLTAGE</m:t>
                      </m:r>
                    </m:sub>
                  </m:sSub>
                  <m:r>
                    <a:rPr lang="en-US" sz="1000" b="0" i="0">
                      <a:latin typeface="Cambria Math"/>
                      <a:ea typeface="Cambria Math"/>
                    </a:rPr>
                    <m:t>=</m:t>
                  </m:r>
                  <m:sSub>
                    <m:sSubPr>
                      <m:ctrlPr>
                        <a:rPr lang="en-US" sz="1000" b="0" i="1">
                          <a:latin typeface="Cambria Math" panose="02040503050406030204" pitchFamily="18" charset="0"/>
                          <a:ea typeface="Cambria Math"/>
                        </a:rPr>
                      </m:ctrlPr>
                    </m:sSubPr>
                    <m:e>
                      <m:r>
                        <m:rPr>
                          <m:sty m:val="p"/>
                        </m:rPr>
                        <a:rPr lang="en-US" sz="1000" b="0" i="0">
                          <a:latin typeface="Cambria Math"/>
                          <a:ea typeface="Cambria Math"/>
                        </a:rPr>
                        <m:t>I</m:t>
                      </m:r>
                    </m:e>
                    <m:sub>
                      <m:r>
                        <m:rPr>
                          <m:sty m:val="p"/>
                        </m:rPr>
                        <a:rPr lang="en-US" sz="1000" b="0" i="0">
                          <a:latin typeface="Cambria Math"/>
                          <a:ea typeface="Cambria Math"/>
                        </a:rPr>
                        <m:t>RATED</m:t>
                      </m:r>
                      <m:r>
                        <a:rPr lang="en-US" sz="1000" b="0" i="0">
                          <a:latin typeface="Cambria Math"/>
                          <a:ea typeface="Cambria Math"/>
                        </a:rPr>
                        <m:t> </m:t>
                      </m:r>
                      <m:r>
                        <m:rPr>
                          <m:sty m:val="p"/>
                        </m:rPr>
                        <a:rPr lang="en-US" sz="1000" b="0" i="0">
                          <a:latin typeface="Cambria Math"/>
                          <a:ea typeface="Cambria Math"/>
                        </a:rPr>
                        <m:t>FUNDAMENTAL</m:t>
                      </m:r>
                    </m:sub>
                  </m:sSub>
                  <m:r>
                    <a:rPr lang="en-US" sz="1000" b="0" i="0">
                      <a:latin typeface="Cambria Math"/>
                      <a:ea typeface="Cambria Math"/>
                    </a:rPr>
                    <m:t>× </m:t>
                  </m:r>
                  <m:sSub>
                    <m:sSubPr>
                      <m:ctrlPr>
                        <a:rPr lang="en-US" sz="1000" b="0" i="1">
                          <a:latin typeface="Cambria Math" panose="02040503050406030204" pitchFamily="18" charset="0"/>
                          <a:ea typeface="Cambria Math"/>
                        </a:rPr>
                      </m:ctrlPr>
                    </m:sSubPr>
                    <m:e>
                      <m:r>
                        <m:rPr>
                          <m:sty m:val="p"/>
                        </m:rPr>
                        <a:rPr lang="en-US" sz="1000" b="0" i="0">
                          <a:latin typeface="Cambria Math"/>
                          <a:ea typeface="Cambria Math"/>
                        </a:rPr>
                        <m:t>X</m:t>
                      </m:r>
                    </m:e>
                    <m:sub>
                      <m:r>
                        <m:rPr>
                          <m:sty m:val="p"/>
                        </m:rPr>
                        <a:rPr lang="en-US" sz="1000" b="0" i="0">
                          <a:latin typeface="Cambria Math"/>
                          <a:ea typeface="Cambria Math"/>
                        </a:rPr>
                        <m:t>C</m:t>
                      </m:r>
                    </m:sub>
                  </m:sSub>
                  <m:r>
                    <a:rPr lang="en-US" sz="1000" b="0" i="1">
                      <a:latin typeface="Cambria Math"/>
                      <a:ea typeface="Cambria Math"/>
                    </a:rPr>
                    <m:t>/1000</m:t>
                  </m:r>
                </m:oMath>
              </a14:m>
              <a:r>
                <a:rPr lang="en-US" sz="1000" b="0" i="0"/>
                <a:t> (kV)</a:t>
              </a:r>
            </a:p>
          </xdr:txBody>
        </xdr:sp>
      </mc:Choice>
      <mc:Fallback xmlns="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34E44C88-37F0-4257-A336-8A59F6E94F65}"/>
                </a:ext>
              </a:extLst>
            </xdr:cNvPr>
            <xdr:cNvSpPr txBox="1"/>
          </xdr:nvSpPr>
          <xdr:spPr>
            <a:xfrm>
              <a:off x="4724400" y="9067800"/>
              <a:ext cx="4419599" cy="2488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1000" b="0" i="0">
                  <a:latin typeface="Cambria Math"/>
                </a:rPr>
                <a:t>V</a:t>
              </a:r>
              <a:r>
                <a:rPr lang="en-US" sz="1000" b="0" i="0">
                  <a:latin typeface="Cambria Math" panose="02040503050406030204" pitchFamily="18" charset="0"/>
                </a:rPr>
                <a:t>_(</a:t>
              </a:r>
              <a:r>
                <a:rPr lang="en-US" sz="1000" b="0" i="0">
                  <a:latin typeface="Cambria Math"/>
                </a:rPr>
                <a:t>CAP FUNDAMENTAL VOLTAGE</a:t>
              </a:r>
              <a:r>
                <a:rPr lang="en-US" sz="1000" b="0" i="0">
                  <a:latin typeface="Cambria Math" panose="02040503050406030204" pitchFamily="18" charset="0"/>
                </a:rPr>
                <a:t>)</a:t>
              </a:r>
              <a:r>
                <a:rPr lang="en-US" sz="1000" b="0" i="0">
                  <a:latin typeface="Cambria Math"/>
                  <a:ea typeface="Cambria Math"/>
                </a:rPr>
                <a:t>=I</a:t>
              </a:r>
              <a:r>
                <a:rPr lang="en-US" sz="1000" b="0" i="0">
                  <a:latin typeface="Cambria Math" panose="02040503050406030204" pitchFamily="18" charset="0"/>
                  <a:ea typeface="Cambria Math"/>
                </a:rPr>
                <a:t>_(</a:t>
              </a:r>
              <a:r>
                <a:rPr lang="en-US" sz="1000" b="0" i="0">
                  <a:latin typeface="Cambria Math"/>
                  <a:ea typeface="Cambria Math"/>
                </a:rPr>
                <a:t>RATED FUNDAMENTAL</a:t>
              </a:r>
              <a:r>
                <a:rPr lang="en-US" sz="1000" b="0" i="0">
                  <a:latin typeface="Cambria Math" panose="02040503050406030204" pitchFamily="18" charset="0"/>
                  <a:ea typeface="Cambria Math"/>
                </a:rPr>
                <a:t>)</a:t>
              </a:r>
              <a:r>
                <a:rPr lang="en-US" sz="1000" b="0" i="0">
                  <a:latin typeface="Cambria Math"/>
                  <a:ea typeface="Cambria Math"/>
                </a:rPr>
                <a:t>× X</a:t>
              </a:r>
              <a:r>
                <a:rPr lang="en-US" sz="1000" b="0" i="0">
                  <a:latin typeface="Cambria Math" panose="02040503050406030204" pitchFamily="18" charset="0"/>
                  <a:ea typeface="Cambria Math"/>
                </a:rPr>
                <a:t>_</a:t>
              </a:r>
              <a:r>
                <a:rPr lang="en-US" sz="1000" b="0" i="0">
                  <a:latin typeface="Cambria Math"/>
                  <a:ea typeface="Cambria Math"/>
                </a:rPr>
                <a:t>C/1000</a:t>
              </a:r>
              <a:r>
                <a:rPr lang="en-US" sz="1000" b="0" i="0"/>
                <a:t> (kV)</a:t>
              </a:r>
            </a:p>
          </xdr:txBody>
        </xdr:sp>
      </mc:Fallback>
    </mc:AlternateContent>
    <xdr:clientData/>
  </xdr:oneCellAnchor>
  <xdr:oneCellAnchor>
    <xdr:from>
      <xdr:col>1</xdr:col>
      <xdr:colOff>2571750</xdr:colOff>
      <xdr:row>65</xdr:row>
      <xdr:rowOff>152400</xdr:rowOff>
    </xdr:from>
    <xdr:ext cx="2209800" cy="42383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 txBox="1"/>
          </xdr:nvSpPr>
          <xdr:spPr>
            <a:xfrm>
              <a:off x="2733675" y="17297400"/>
              <a:ext cx="2209800" cy="42383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/>
                          </a:rPr>
                          <m:t>𝑉</m:t>
                        </m:r>
                      </m:e>
                      <m:sub>
                        <m:r>
                          <a:rPr lang="en-US" sz="1100" b="0" i="1">
                            <a:latin typeface="Cambria Math"/>
                          </a:rPr>
                          <m:t>𝐶𝐴𝑃</m:t>
                        </m:r>
                        <m:r>
                          <a:rPr lang="en-US" sz="1100" b="0" i="1">
                            <a:latin typeface="Cambria Math"/>
                          </a:rPr>
                          <m:t> </m:t>
                        </m:r>
                        <m:r>
                          <a:rPr lang="en-US" sz="1100" b="0" i="1">
                            <a:latin typeface="Cambria Math"/>
                          </a:rPr>
                          <m:t>𝐻𝐴𝑅𝑀𝑂𝑁𝐼𝐶</m:t>
                        </m:r>
                        <m:r>
                          <a:rPr lang="en-US" sz="1100" b="0" i="1">
                            <a:latin typeface="Cambria Math"/>
                          </a:rPr>
                          <m:t> </m:t>
                        </m:r>
                        <m:r>
                          <a:rPr lang="en-US" sz="1100" b="0" i="1">
                            <a:latin typeface="Cambria Math"/>
                          </a:rPr>
                          <m:t>𝑉𝑂𝐿𝑇𝐴𝐺𝐸</m:t>
                        </m:r>
                      </m:sub>
                    </m:sSub>
                    <m:r>
                      <a:rPr lang="en-US" sz="1100" b="0" i="1">
                        <a:latin typeface="Cambria Math"/>
                        <a:ea typeface="Cambria Math"/>
                      </a:rPr>
                      <m:t>=</m:t>
                    </m:r>
                    <m:f>
                      <m:fPr>
                        <m:ctrlPr>
                          <a:rPr lang="en-US" sz="1100" b="0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𝑋</m:t>
                            </m:r>
                          </m:e>
                          <m:sub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𝐶</m:t>
                            </m:r>
                          </m:sub>
                        </m:sSub>
                      </m:num>
                      <m:den>
                        <m:r>
                          <a:rPr lang="en-US" sz="1100" b="0" i="1">
                            <a:latin typeface="Cambria Math"/>
                            <a:ea typeface="Cambria Math"/>
                          </a:rPr>
                          <m:t>𝑛</m:t>
                        </m:r>
                      </m:den>
                    </m:f>
                    <m:r>
                      <a:rPr lang="en-US" sz="1100" b="0" i="1">
                        <a:latin typeface="Cambria Math"/>
                        <a:ea typeface="Cambria Math"/>
                      </a:rPr>
                      <m:t>×</m:t>
                    </m:r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/>
                            <a:ea typeface="Cambria Math"/>
                          </a:rPr>
                          <m:t>𝐼</m:t>
                        </m:r>
                      </m:e>
                      <m:sub>
                        <m:r>
                          <a:rPr lang="en-US" sz="1100" b="0" i="1">
                            <a:latin typeface="Cambria Math"/>
                            <a:ea typeface="Cambria Math"/>
                          </a:rPr>
                          <m:t>𝑛</m:t>
                        </m:r>
                      </m:sub>
                    </m:sSub>
                  </m:oMath>
                </m:oMathPara>
              </a14:m>
              <a:endParaRPr lang="en-US" sz="1100" b="0"/>
            </a:p>
          </xdr:txBody>
        </xdr:sp>
      </mc:Choice>
      <mc:Fallback xmlns="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8C099567-FD89-422B-82BF-3D8BFA604FAF}"/>
                </a:ext>
              </a:extLst>
            </xdr:cNvPr>
            <xdr:cNvSpPr txBox="1"/>
          </xdr:nvSpPr>
          <xdr:spPr>
            <a:xfrm>
              <a:off x="2733675" y="17297400"/>
              <a:ext cx="2209800" cy="42383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en-US" sz="1100" b="0" i="0">
                  <a:latin typeface="Cambria Math"/>
                </a:rPr>
                <a:t>𝑉</a:t>
              </a:r>
              <a:r>
                <a:rPr lang="en-US" sz="1100" b="0" i="0">
                  <a:latin typeface="Cambria Math" panose="02040503050406030204" pitchFamily="18" charset="0"/>
                </a:rPr>
                <a:t>_(</a:t>
              </a:r>
              <a:r>
                <a:rPr lang="en-US" sz="1100" b="0" i="0">
                  <a:latin typeface="Cambria Math"/>
                </a:rPr>
                <a:t>𝐶𝐴𝑃 𝐻𝐴𝑅𝑀𝑂𝑁𝐼𝐶 𝑉𝑂𝐿𝑇𝐴𝐺𝐸</a:t>
              </a:r>
              <a:r>
                <a:rPr lang="en-US" sz="1100" b="0" i="0">
                  <a:latin typeface="Cambria Math" panose="02040503050406030204" pitchFamily="18" charset="0"/>
                </a:rPr>
                <a:t>)</a:t>
              </a:r>
              <a:r>
                <a:rPr lang="en-US" sz="1100" b="0" i="0">
                  <a:latin typeface="Cambria Math"/>
                  <a:ea typeface="Cambria Math"/>
                </a:rPr>
                <a:t>=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𝑋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𝐶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/>
                  <a:cs typeface="+mn-cs"/>
                </a:rPr>
                <a:t>/</a:t>
              </a:r>
              <a:r>
                <a:rPr lang="en-US" sz="1100" b="0" i="0">
                  <a:latin typeface="Cambria Math"/>
                  <a:ea typeface="Cambria Math"/>
                </a:rPr>
                <a:t>𝑛×𝐼</a:t>
              </a:r>
              <a:r>
                <a:rPr lang="en-US" sz="1100" b="0" i="0">
                  <a:latin typeface="Cambria Math" panose="02040503050406030204" pitchFamily="18" charset="0"/>
                  <a:ea typeface="Cambria Math"/>
                </a:rPr>
                <a:t>_</a:t>
              </a:r>
              <a:r>
                <a:rPr lang="en-US" sz="1100" b="0" i="0">
                  <a:latin typeface="Cambria Math"/>
                  <a:ea typeface="Cambria Math"/>
                </a:rPr>
                <a:t>𝑛</a:t>
              </a:r>
              <a:endParaRPr lang="en-US" sz="1100" b="0"/>
            </a:p>
          </xdr:txBody>
        </xdr:sp>
      </mc:Fallback>
    </mc:AlternateContent>
    <xdr:clientData/>
  </xdr:oneCellAnchor>
  <xdr:oneCellAnchor>
    <xdr:from>
      <xdr:col>5</xdr:col>
      <xdr:colOff>1</xdr:colOff>
      <xdr:row>32</xdr:row>
      <xdr:rowOff>85725</xdr:rowOff>
    </xdr:from>
    <xdr:ext cx="2505074" cy="31008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 txBox="1"/>
          </xdr:nvSpPr>
          <xdr:spPr>
            <a:xfrm>
              <a:off x="4724401" y="8429625"/>
              <a:ext cx="2505074" cy="31008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US" sz="1000" b="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n-US" sz="1000" b="0" i="1">
                          <a:latin typeface="Cambria Math"/>
                        </a:rPr>
                        <m:t>𝐼</m:t>
                      </m:r>
                    </m:e>
                    <m:sub>
                      <m:r>
                        <a:rPr lang="en-US" sz="1000" b="0" i="1">
                          <a:latin typeface="Cambria Math"/>
                        </a:rPr>
                        <m:t>𝐶𝐴𝑃</m:t>
                      </m:r>
                    </m:sub>
                  </m:sSub>
                  <m:r>
                    <a:rPr lang="en-US" sz="1000" b="0" i="1">
                      <a:latin typeface="Cambria Math"/>
                      <a:ea typeface="Cambria Math"/>
                    </a:rPr>
                    <m:t>= </m:t>
                  </m:r>
                  <m:f>
                    <m:fPr>
                      <m:ctrlPr>
                        <a:rPr lang="en-US" sz="1000" b="0" i="1">
                          <a:latin typeface="Cambria Math" panose="02040503050406030204" pitchFamily="18" charset="0"/>
                          <a:ea typeface="Cambria Math"/>
                        </a:rPr>
                      </m:ctrlPr>
                    </m:fPr>
                    <m:num>
                      <m:sSub>
                        <m:sSubPr>
                          <m:ctrlPr>
                            <a:rPr lang="en-US" sz="10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n-US" sz="10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𝐼</m:t>
                          </m:r>
                        </m:e>
                        <m:sub>
                          <m:r>
                            <a:rPr lang="en-US" sz="10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𝑅𝐴𝑇𝐸𝐷</m:t>
                          </m:r>
                          <m:r>
                            <a:rPr lang="en-US" sz="10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 </m:t>
                          </m:r>
                          <m:r>
                            <a:rPr lang="en-US" sz="10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𝐹𝑈𝑁𝐷𝐴𝑀𝐸𝑁𝑇𝐴𝐿</m:t>
                          </m:r>
                        </m:sub>
                      </m:sSub>
                    </m:num>
                    <m:den>
                      <m:r>
                        <a:rPr lang="en-US" sz="1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𝑁</m:t>
                      </m:r>
                    </m:den>
                  </m:f>
                </m:oMath>
              </a14:m>
              <a:r>
                <a:rPr lang="en-US" sz="1000" b="0"/>
                <a:t> (amps/capacitor)</a:t>
              </a:r>
            </a:p>
          </xdr:txBody>
        </xdr:sp>
      </mc:Choice>
      <mc:Fallback xmlns="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684BD690-0DF2-4054-8CA6-9515BA06D86B}"/>
                </a:ext>
              </a:extLst>
            </xdr:cNvPr>
            <xdr:cNvSpPr txBox="1"/>
          </xdr:nvSpPr>
          <xdr:spPr>
            <a:xfrm>
              <a:off x="4724401" y="8429625"/>
              <a:ext cx="2505074" cy="31008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1000" b="0" i="0">
                  <a:latin typeface="Cambria Math"/>
                </a:rPr>
                <a:t>𝐼</a:t>
              </a:r>
              <a:r>
                <a:rPr lang="en-US" sz="1000" b="0" i="0">
                  <a:latin typeface="Cambria Math" panose="02040503050406030204" pitchFamily="18" charset="0"/>
                </a:rPr>
                <a:t>_</a:t>
              </a:r>
              <a:r>
                <a:rPr lang="en-US" sz="1000" b="0" i="0">
                  <a:latin typeface="Cambria Math"/>
                </a:rPr>
                <a:t>𝐶𝐴𝑃</a:t>
              </a:r>
              <a:r>
                <a:rPr lang="en-US" sz="1000" b="0" i="0">
                  <a:latin typeface="Cambria Math"/>
                  <a:ea typeface="Cambria Math"/>
                </a:rPr>
                <a:t>= 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𝐼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_(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𝑅𝐴𝑇𝐸𝐷 𝐹𝑈𝑁𝐷𝐴𝑀𝐸𝑁𝑇𝐴𝐿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/>
                  <a:cs typeface="+mn-cs"/>
                </a:rPr>
                <a:t>/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𝑁</a:t>
              </a:r>
              <a:r>
                <a:rPr lang="en-US" sz="1000" b="0"/>
                <a:t> (amps/capacitor)</a:t>
              </a:r>
            </a:p>
          </xdr:txBody>
        </xdr:sp>
      </mc:Fallback>
    </mc:AlternateContent>
    <xdr:clientData/>
  </xdr:oneCellAnchor>
  <xdr:oneCellAnchor>
    <xdr:from>
      <xdr:col>5</xdr:col>
      <xdr:colOff>133350</xdr:colOff>
      <xdr:row>65</xdr:row>
      <xdr:rowOff>152400</xdr:rowOff>
    </xdr:from>
    <xdr:ext cx="2209800" cy="43890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SpPr txBox="1"/>
          </xdr:nvSpPr>
          <xdr:spPr>
            <a:xfrm>
              <a:off x="4857750" y="17297400"/>
              <a:ext cx="2209800" cy="43890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/>
                          </a:rPr>
                          <m:t>𝐼</m:t>
                        </m:r>
                      </m:e>
                      <m:sub>
                        <m:r>
                          <a:rPr lang="en-US" sz="1100" b="0" i="1">
                            <a:latin typeface="Cambria Math"/>
                          </a:rPr>
                          <m:t>𝑅𝐸𝑆𝐼𝑆𝑇𝑂𝑅</m:t>
                        </m:r>
                        <m:r>
                          <a:rPr lang="en-US" sz="1100" b="0" i="1">
                            <a:latin typeface="Cambria Math"/>
                          </a:rPr>
                          <m:t> (</m:t>
                        </m:r>
                        <m:r>
                          <a:rPr lang="en-US" sz="1100" b="0" i="1">
                            <a:latin typeface="Cambria Math"/>
                          </a:rPr>
                          <m:t>𝑛</m:t>
                        </m:r>
                        <m:r>
                          <a:rPr lang="en-US" sz="1100" b="0" i="1">
                            <a:latin typeface="Cambria Math"/>
                          </a:rPr>
                          <m:t>)</m:t>
                        </m:r>
                      </m:sub>
                    </m:sSub>
                    <m:r>
                      <a:rPr lang="en-US" sz="1100" b="0" i="1">
                        <a:latin typeface="Cambria Math"/>
                        <a:ea typeface="Cambria Math"/>
                      </a:rPr>
                      <m:t>=</m:t>
                    </m:r>
                    <m:f>
                      <m:fPr>
                        <m:ctrlPr>
                          <a:rPr lang="en-US" sz="1100" b="0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𝑋</m:t>
                            </m:r>
                          </m:e>
                          <m:sub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𝐿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𝑅</m:t>
                            </m:r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+</m:t>
                            </m:r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𝑗𝑋</m:t>
                            </m:r>
                          </m:e>
                          <m:sub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𝐿</m:t>
                            </m:r>
                          </m:sub>
                        </m:sSub>
                      </m:den>
                    </m:f>
                    <m:r>
                      <a:rPr lang="en-US" sz="1100" b="0" i="1">
                        <a:latin typeface="Cambria Math"/>
                        <a:ea typeface="Cambria Math"/>
                      </a:rPr>
                      <m:t>×</m:t>
                    </m:r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/>
                            <a:ea typeface="Cambria Math"/>
                          </a:rPr>
                          <m:t>𝐼</m:t>
                        </m:r>
                      </m:e>
                      <m:sub>
                        <m:r>
                          <a:rPr lang="en-US" sz="1100" b="0" i="1">
                            <a:latin typeface="Cambria Math"/>
                            <a:ea typeface="Cambria Math"/>
                          </a:rPr>
                          <m:t>𝑛</m:t>
                        </m:r>
                      </m:sub>
                    </m:sSub>
                  </m:oMath>
                </m:oMathPara>
              </a14:m>
              <a:endParaRPr lang="en-US" sz="1100" b="0"/>
            </a:p>
          </xdr:txBody>
        </xdr:sp>
      </mc:Choice>
      <mc:Fallback xmlns="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FEA18647-A880-4D08-AAD6-14C2A3411471}"/>
                </a:ext>
              </a:extLst>
            </xdr:cNvPr>
            <xdr:cNvSpPr txBox="1"/>
          </xdr:nvSpPr>
          <xdr:spPr>
            <a:xfrm>
              <a:off x="4857750" y="17297400"/>
              <a:ext cx="2209800" cy="43890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en-US" sz="1100" b="0" i="0">
                  <a:latin typeface="Cambria Math"/>
                </a:rPr>
                <a:t>𝐼</a:t>
              </a:r>
              <a:r>
                <a:rPr lang="en-US" sz="1100" b="0" i="0">
                  <a:latin typeface="Cambria Math" panose="02040503050406030204" pitchFamily="18" charset="0"/>
                </a:rPr>
                <a:t>_(</a:t>
              </a:r>
              <a:r>
                <a:rPr lang="en-US" sz="1100" b="0" i="0">
                  <a:latin typeface="Cambria Math"/>
                </a:rPr>
                <a:t>𝑅𝐸𝑆𝐼𝑆𝑇𝑂𝑅 (𝑛)</a:t>
              </a:r>
              <a:r>
                <a:rPr lang="en-US" sz="1100" b="0" i="0">
                  <a:latin typeface="Cambria Math" panose="02040503050406030204" pitchFamily="18" charset="0"/>
                </a:rPr>
                <a:t>)</a:t>
              </a:r>
              <a:r>
                <a:rPr lang="en-US" sz="1100" b="0" i="0">
                  <a:latin typeface="Cambria Math"/>
                  <a:ea typeface="Cambria Math"/>
                </a:rPr>
                <a:t>=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𝑋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𝐿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/>
                  <a:cs typeface="+mn-cs"/>
                </a:rPr>
                <a:t>/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𝑅+𝑗𝑋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〗_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𝐿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</a:t>
              </a:r>
              <a:r>
                <a:rPr lang="en-US" sz="1100" b="0" i="0">
                  <a:latin typeface="Cambria Math"/>
                  <a:ea typeface="Cambria Math"/>
                </a:rPr>
                <a:t>×𝐼</a:t>
              </a:r>
              <a:r>
                <a:rPr lang="en-US" sz="1100" b="0" i="0">
                  <a:latin typeface="Cambria Math" panose="02040503050406030204" pitchFamily="18" charset="0"/>
                  <a:ea typeface="Cambria Math"/>
                </a:rPr>
                <a:t>_</a:t>
              </a:r>
              <a:r>
                <a:rPr lang="en-US" sz="1100" b="0" i="0">
                  <a:latin typeface="Cambria Math"/>
                  <a:ea typeface="Cambria Math"/>
                </a:rPr>
                <a:t>𝑛</a:t>
              </a:r>
              <a:endParaRPr lang="en-US" sz="1100" b="0"/>
            </a:p>
          </xdr:txBody>
        </xdr:sp>
      </mc:Fallback>
    </mc:AlternateContent>
    <xdr:clientData/>
  </xdr:oneCellAnchor>
  <xdr:oneCellAnchor>
    <xdr:from>
      <xdr:col>7</xdr:col>
      <xdr:colOff>647700</xdr:colOff>
      <xdr:row>65</xdr:row>
      <xdr:rowOff>142875</xdr:rowOff>
    </xdr:from>
    <xdr:ext cx="2209800" cy="45461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SpPr txBox="1"/>
          </xdr:nvSpPr>
          <xdr:spPr>
            <a:xfrm>
              <a:off x="6705600" y="17287875"/>
              <a:ext cx="2209800" cy="45461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/>
                          </a:rPr>
                          <m:t>𝐼</m:t>
                        </m:r>
                      </m:e>
                      <m:sub>
                        <m:r>
                          <a:rPr lang="en-US" sz="1100" b="0" i="1">
                            <a:latin typeface="Cambria Math"/>
                          </a:rPr>
                          <m:t>𝑅𝐸𝐴𝐶𝑇𝑂𝑅</m:t>
                        </m:r>
                        <m:r>
                          <a:rPr lang="en-US" sz="1100" b="0" i="1">
                            <a:latin typeface="Cambria Math"/>
                          </a:rPr>
                          <m:t> (</m:t>
                        </m:r>
                        <m:r>
                          <a:rPr lang="en-US" sz="1100" b="0" i="1">
                            <a:latin typeface="Cambria Math"/>
                          </a:rPr>
                          <m:t>𝑛</m:t>
                        </m:r>
                        <m:r>
                          <a:rPr lang="en-US" sz="1100" b="0" i="1">
                            <a:latin typeface="Cambria Math"/>
                          </a:rPr>
                          <m:t>)</m:t>
                        </m:r>
                      </m:sub>
                    </m:sSub>
                    <m:r>
                      <a:rPr lang="en-US" sz="1100" b="0" i="1">
                        <a:latin typeface="Cambria Math"/>
                        <a:ea typeface="Cambria Math"/>
                      </a:rPr>
                      <m:t>=</m:t>
                    </m:r>
                    <m:f>
                      <m:fPr>
                        <m:ctrlPr>
                          <a:rPr lang="en-US" sz="1100" b="0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fPr>
                      <m:num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𝑅</m:t>
                        </m:r>
                      </m:num>
                      <m:den>
                        <m:sSub>
                          <m:sSubPr>
                            <m:ctrlP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𝑅</m:t>
                            </m:r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+</m:t>
                            </m:r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𝑗𝑋</m:t>
                            </m:r>
                          </m:e>
                          <m:sub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𝐿</m:t>
                            </m:r>
                          </m:sub>
                        </m:sSub>
                      </m:den>
                    </m:f>
                    <m:r>
                      <a:rPr lang="en-US" sz="1100" b="0" i="1">
                        <a:latin typeface="Cambria Math"/>
                        <a:ea typeface="Cambria Math"/>
                      </a:rPr>
                      <m:t>×</m:t>
                    </m:r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/>
                            <a:ea typeface="Cambria Math"/>
                          </a:rPr>
                          <m:t>𝐼</m:t>
                        </m:r>
                      </m:e>
                      <m:sub>
                        <m:r>
                          <a:rPr lang="en-US" sz="1100" b="0" i="1">
                            <a:latin typeface="Cambria Math"/>
                            <a:ea typeface="Cambria Math"/>
                          </a:rPr>
                          <m:t>𝑛</m:t>
                        </m:r>
                      </m:sub>
                    </m:sSub>
                  </m:oMath>
                </m:oMathPara>
              </a14:m>
              <a:endParaRPr lang="en-US" sz="1100" b="0"/>
            </a:p>
          </xdr:txBody>
        </xdr:sp>
      </mc:Choice>
      <mc:Fallback xmlns="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F3C8A437-577C-4D7C-B073-2E2F0AF54761}"/>
                </a:ext>
              </a:extLst>
            </xdr:cNvPr>
            <xdr:cNvSpPr txBox="1"/>
          </xdr:nvSpPr>
          <xdr:spPr>
            <a:xfrm>
              <a:off x="6705600" y="17287875"/>
              <a:ext cx="2209800" cy="45461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en-US" sz="1100" b="0" i="0">
                  <a:latin typeface="Cambria Math"/>
                </a:rPr>
                <a:t>𝐼</a:t>
              </a:r>
              <a:r>
                <a:rPr lang="en-US" sz="1100" b="0" i="0">
                  <a:latin typeface="Cambria Math" panose="02040503050406030204" pitchFamily="18" charset="0"/>
                </a:rPr>
                <a:t>_(</a:t>
              </a:r>
              <a:r>
                <a:rPr lang="en-US" sz="1100" b="0" i="0">
                  <a:latin typeface="Cambria Math"/>
                </a:rPr>
                <a:t>𝑅𝐸𝐴𝐶𝑇𝑂𝑅 (𝑛)</a:t>
              </a:r>
              <a:r>
                <a:rPr lang="en-US" sz="1100" b="0" i="0">
                  <a:latin typeface="Cambria Math" panose="02040503050406030204" pitchFamily="18" charset="0"/>
                </a:rPr>
                <a:t>)</a:t>
              </a:r>
              <a:r>
                <a:rPr lang="en-US" sz="1100" b="0" i="0">
                  <a:latin typeface="Cambria Math"/>
                  <a:ea typeface="Cambria Math"/>
                </a:rPr>
                <a:t>=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/>
                  <a:cs typeface="+mn-cs"/>
                </a:rPr>
                <a:t>/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𝑅+𝑗𝑋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〗_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𝐿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</a:t>
              </a:r>
              <a:r>
                <a:rPr lang="en-US" sz="1100" b="0" i="0">
                  <a:latin typeface="Cambria Math"/>
                  <a:ea typeface="Cambria Math"/>
                </a:rPr>
                <a:t>×𝐼</a:t>
              </a:r>
              <a:r>
                <a:rPr lang="en-US" sz="1100" b="0" i="0">
                  <a:latin typeface="Cambria Math" panose="02040503050406030204" pitchFamily="18" charset="0"/>
                  <a:ea typeface="Cambria Math"/>
                </a:rPr>
                <a:t>_</a:t>
              </a:r>
              <a:r>
                <a:rPr lang="en-US" sz="1100" b="0" i="0">
                  <a:latin typeface="Cambria Math"/>
                  <a:ea typeface="Cambria Math"/>
                </a:rPr>
                <a:t>𝑛</a:t>
              </a:r>
              <a:endParaRPr lang="en-US" sz="1100" b="0"/>
            </a:p>
          </xdr:txBody>
        </xdr:sp>
      </mc:Fallback>
    </mc:AlternateContent>
    <xdr:clientData/>
  </xdr:oneCellAnchor>
  <xdr:twoCellAnchor editAs="oneCell">
    <xdr:from>
      <xdr:col>9</xdr:col>
      <xdr:colOff>594444</xdr:colOff>
      <xdr:row>0</xdr:row>
      <xdr:rowOff>59981</xdr:rowOff>
    </xdr:from>
    <xdr:to>
      <xdr:col>11</xdr:col>
      <xdr:colOff>1441419</xdr:colOff>
      <xdr:row>2</xdr:row>
      <xdr:rowOff>447675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2044" y="59981"/>
          <a:ext cx="2532900" cy="940144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11</xdr:row>
      <xdr:rowOff>28575</xdr:rowOff>
    </xdr:from>
    <xdr:ext cx="2114550" cy="38568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SpPr txBox="1"/>
          </xdr:nvSpPr>
          <xdr:spPr>
            <a:xfrm>
              <a:off x="4724400" y="2886075"/>
              <a:ext cx="2114550" cy="38568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US" sz="1000" b="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n-US" sz="1000" b="0" i="1">
                          <a:latin typeface="Cambria Math"/>
                        </a:rPr>
                        <m:t>𝑋</m:t>
                      </m:r>
                    </m:e>
                    <m:sub>
                      <m:r>
                        <a:rPr lang="en-US" sz="1000" b="0" i="1">
                          <a:latin typeface="Cambria Math"/>
                        </a:rPr>
                        <m:t>𝑒𝑓𝑓</m:t>
                      </m:r>
                    </m:sub>
                  </m:sSub>
                  <m:r>
                    <a:rPr lang="en-US" sz="1000" b="0" i="1">
                      <a:latin typeface="Cambria Math"/>
                      <a:ea typeface="Cambria Math"/>
                    </a:rPr>
                    <m:t>= </m:t>
                  </m:r>
                  <m:f>
                    <m:fPr>
                      <m:ctrlPr>
                        <a:rPr lang="en-US" sz="1000" b="0" i="1">
                          <a:latin typeface="Cambria Math" panose="02040503050406030204" pitchFamily="18" charset="0"/>
                          <a:ea typeface="Cambria Math"/>
                        </a:rPr>
                      </m:ctrlPr>
                    </m:fPr>
                    <m:num>
                      <m:sSup>
                        <m:sSupPr>
                          <m:ctrlPr>
                            <a:rPr lang="en-US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sSub>
                            <m:sSubPr>
                              <m:ctrlPr>
                                <a:rPr lang="en-US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n-US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𝑘𝑉</m:t>
                              </m:r>
                            </m:e>
                            <m:sub>
                              <m:r>
                                <a:rPr lang="en-US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𝐿𝐿𝑆𝑌𝑆</m:t>
                              </m:r>
                            </m:sub>
                          </m:sSub>
                        </m:e>
                        <m:sup>
                          <m:r>
                            <a:rPr lang="en-US" sz="11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</m:t>
                          </m:r>
                        </m:sup>
                      </m:sSup>
                    </m:num>
                    <m:den>
                      <m:sSub>
                        <m:sSubPr>
                          <m:ctrlPr>
                            <a:rPr lang="en-US" sz="10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n-US" sz="10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𝑄</m:t>
                          </m:r>
                        </m:e>
                        <m:sub>
                          <m:r>
                            <a:rPr lang="en-US" sz="10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𝑒𝑓𝑓</m:t>
                          </m:r>
                        </m:sub>
                      </m:sSub>
                      <m:r>
                        <a:rPr lang="en-US" sz="1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</m:t>
                      </m:r>
                      <m:r>
                        <a:rPr lang="en-US" sz="1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𝑀𝑉𝐴𝑅</m:t>
                      </m:r>
                      <m:r>
                        <a:rPr lang="en-US" sz="1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</m:t>
                      </m:r>
                    </m:den>
                  </m:f>
                </m:oMath>
              </a14:m>
              <a:r>
                <a:rPr lang="en-US" sz="1000" b="0"/>
                <a:t> (ohms)</a:t>
              </a:r>
            </a:p>
          </xdr:txBody>
        </xdr:sp>
      </mc:Choice>
      <mc:Fallback xmlns="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D8C66612-52A8-471C-897D-C9EA3E229070}"/>
                </a:ext>
              </a:extLst>
            </xdr:cNvPr>
            <xdr:cNvSpPr txBox="1"/>
          </xdr:nvSpPr>
          <xdr:spPr>
            <a:xfrm>
              <a:off x="4724400" y="2886075"/>
              <a:ext cx="2114550" cy="38568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1000" b="0" i="0">
                  <a:latin typeface="Cambria Math"/>
                </a:rPr>
                <a:t>𝑋</a:t>
              </a:r>
              <a:r>
                <a:rPr lang="en-US" sz="1000" b="0" i="0">
                  <a:latin typeface="Cambria Math" panose="02040503050406030204" pitchFamily="18" charset="0"/>
                </a:rPr>
                <a:t>_</a:t>
              </a:r>
              <a:r>
                <a:rPr lang="en-US" sz="1000" b="0" i="0">
                  <a:latin typeface="Cambria Math"/>
                </a:rPr>
                <a:t>𝑒𝑓𝑓</a:t>
              </a:r>
              <a:r>
                <a:rPr lang="en-US" sz="1000" b="0" i="0">
                  <a:latin typeface="Cambria Math"/>
                  <a:ea typeface="Cambria Math"/>
                </a:rPr>
                <a:t>= 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〖〖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𝑘𝑉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〗_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𝐿𝐿𝑆𝑌𝑆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〗^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/>
                  <a:cs typeface="+mn-cs"/>
                </a:rPr>
                <a:t>/(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𝑄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𝑒𝑓𝑓 (𝑀𝑉𝐴𝑅)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/>
                  <a:cs typeface="+mn-cs"/>
                </a:rPr>
                <a:t>)</a:t>
              </a:r>
              <a:r>
                <a:rPr lang="en-US" sz="1000" b="0"/>
                <a:t> (ohms)</a:t>
              </a:r>
            </a:p>
          </xdr:txBody>
        </xdr:sp>
      </mc:Fallback>
    </mc:AlternateContent>
    <xdr:clientData/>
  </xdr:oneCellAnchor>
  <xdr:oneCellAnchor>
    <xdr:from>
      <xdr:col>5</xdr:col>
      <xdr:colOff>0</xdr:colOff>
      <xdr:row>13</xdr:row>
      <xdr:rowOff>219075</xdr:rowOff>
    </xdr:from>
    <xdr:ext cx="2686050" cy="51288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TextBox 10">
              <a:extLst>
                <a:ext uri="{FF2B5EF4-FFF2-40B4-BE49-F238E27FC236}">
                  <a16:creationId xmlns:a16="http://schemas.microsoft.com/office/drawing/2014/main" id="{00000000-0008-0000-0000-00000B000000}"/>
                </a:ext>
              </a:extLst>
            </xdr:cNvPr>
            <xdr:cNvSpPr txBox="1"/>
          </xdr:nvSpPr>
          <xdr:spPr>
            <a:xfrm>
              <a:off x="4724400" y="3533775"/>
              <a:ext cx="2686050" cy="5128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14:m>
                <m:oMath xmlns:m="http://schemas.openxmlformats.org/officeDocument/2006/math">
                  <m:sSub>
                    <m:sSubPr>
                      <m:ctrlPr>
                        <a:rPr lang="en-US" sz="1000" b="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n-US" sz="1000" b="0" i="1">
                          <a:latin typeface="Cambria Math"/>
                        </a:rPr>
                        <m:t>𝐼</m:t>
                      </m:r>
                    </m:e>
                    <m:sub>
                      <m:r>
                        <a:rPr lang="en-US" sz="1000" b="0" i="1">
                          <a:latin typeface="Cambria Math"/>
                        </a:rPr>
                        <m:t>𝐹𝐼𝐿𝑇𝐸𝑅</m:t>
                      </m:r>
                      <m:r>
                        <a:rPr lang="en-US" sz="1000" b="0" i="1">
                          <a:latin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</a:rPr>
                        <m:t>𝑅𝑀𝑆</m:t>
                      </m:r>
                      <m:r>
                        <a:rPr lang="en-US" sz="1000" b="0" i="1">
                          <a:latin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</a:rPr>
                        <m:t>𝐶𝑈𝑅𝑅𝐸𝑁𝑇</m:t>
                      </m:r>
                    </m:sub>
                  </m:sSub>
                  <m:r>
                    <a:rPr lang="en-US" sz="1000" b="0" i="1">
                      <a:latin typeface="Cambria Math"/>
                      <a:ea typeface="Cambria Math"/>
                    </a:rPr>
                    <m:t>=</m:t>
                  </m:r>
                  <m:rad>
                    <m:radPr>
                      <m:degHide m:val="on"/>
                      <m:ctrlPr>
                        <a:rPr lang="en-US" sz="1000" b="0" i="1">
                          <a:latin typeface="Cambria Math" panose="02040503050406030204" pitchFamily="18" charset="0"/>
                          <a:ea typeface="Cambria Math"/>
                        </a:rPr>
                      </m:ctrlPr>
                    </m:radPr>
                    <m:deg/>
                    <m:e>
                      <m:nary>
                        <m:naryPr>
                          <m:chr m:val="∑"/>
                          <m:ctrlPr>
                            <a:rPr lang="en-US" sz="1000" b="0" i="1">
                              <a:latin typeface="Cambria Math" panose="02040503050406030204" pitchFamily="18" charset="0"/>
                              <a:ea typeface="Cambria Math"/>
                            </a:rPr>
                          </m:ctrlPr>
                        </m:naryPr>
                        <m:sub>
                          <m:r>
                            <m:rPr>
                              <m:brk m:alnAt="23"/>
                            </m:rPr>
                            <a:rPr lang="en-US" sz="1000" b="0" i="1">
                              <a:latin typeface="Cambria Math"/>
                              <a:ea typeface="Cambria Math"/>
                            </a:rPr>
                            <m:t>𝑛</m:t>
                          </m:r>
                          <m:r>
                            <a:rPr lang="en-US" sz="1000" b="0" i="1">
                              <a:latin typeface="Cambria Math"/>
                              <a:ea typeface="Cambria Math"/>
                            </a:rPr>
                            <m:t>=1</m:t>
                          </m:r>
                        </m:sub>
                        <m:sup>
                          <m:r>
                            <a:rPr lang="en-US" sz="1000" b="0" i="1">
                              <a:latin typeface="Cambria Math"/>
                              <a:ea typeface="Cambria Math"/>
                            </a:rPr>
                            <m:t>𝑛</m:t>
                          </m:r>
                        </m:sup>
                        <m:e>
                          <m:sSubSup>
                            <m:sSubSupPr>
                              <m:ctrlPr>
                                <a:rPr lang="en-US" sz="1000" b="0" i="1">
                                  <a:latin typeface="Cambria Math" panose="02040503050406030204" pitchFamily="18" charset="0"/>
                                  <a:ea typeface="Cambria Math"/>
                                </a:rPr>
                              </m:ctrlPr>
                            </m:sSubSupPr>
                            <m:e>
                              <m:sSubSup>
                                <m:sSubSupPr>
                                  <m:ctrlPr>
                                    <a:rPr lang="en-US" sz="1000" b="0" i="1">
                                      <a:latin typeface="Cambria Math" panose="02040503050406030204" pitchFamily="18" charset="0"/>
                                      <a:ea typeface="Cambria Math"/>
                                    </a:rPr>
                                  </m:ctrlPr>
                                </m:sSubSupPr>
                                <m:e>
                                  <m:r>
                                    <a:rPr lang="en-US" sz="1000" b="0" i="1">
                                      <a:latin typeface="Cambria Math"/>
                                      <a:ea typeface="Cambria Math"/>
                                    </a:rPr>
                                    <m:t>𝐼</m:t>
                                  </m:r>
                                </m:e>
                                <m:sub>
                                  <m:r>
                                    <a:rPr lang="en-US" sz="1000" b="0" i="1">
                                      <a:latin typeface="Cambria Math"/>
                                      <a:ea typeface="Cambria Math"/>
                                    </a:rPr>
                                    <m:t>𝑛</m:t>
                                  </m:r>
                                </m:sub>
                                <m:sup/>
                              </m:sSubSup>
                            </m:e>
                            <m:sub/>
                            <m:sup>
                              <m:r>
                                <a:rPr lang="en-US" sz="1000" b="0" i="1">
                                  <a:latin typeface="Cambria Math"/>
                                  <a:ea typeface="Cambria Math"/>
                                </a:rPr>
                                <m:t>2</m:t>
                              </m:r>
                            </m:sup>
                          </m:sSubSup>
                          <m:r>
                            <a:rPr lang="en-US" sz="1000" b="0" i="1">
                              <a:latin typeface="Cambria Math"/>
                              <a:ea typeface="Cambria Math"/>
                            </a:rPr>
                            <m:t> (</m:t>
                          </m:r>
                          <m:r>
                            <a:rPr lang="en-US" sz="1000" b="0" i="1">
                              <a:latin typeface="Cambria Math"/>
                              <a:ea typeface="Cambria Math"/>
                            </a:rPr>
                            <m:t>𝑎𝑚𝑝𝑠</m:t>
                          </m:r>
                          <m:r>
                            <a:rPr lang="en-US" sz="1000" b="0" i="1">
                              <a:latin typeface="Cambria Math"/>
                              <a:ea typeface="Cambria Math"/>
                            </a:rPr>
                            <m:t>)</m:t>
                          </m:r>
                        </m:e>
                      </m:nary>
                    </m:e>
                  </m:rad>
                </m:oMath>
              </a14:m>
              <a:r>
                <a:rPr lang="en-US" sz="1000" b="0"/>
                <a:t> </a:t>
              </a:r>
            </a:p>
          </xdr:txBody>
        </xdr:sp>
      </mc:Choice>
      <mc:Fallback xmlns="">
        <xdr:sp macro="" textlink="">
          <xdr:nvSpPr>
            <xdr:cNvPr id="11" name="TextBox 10">
              <a:extLst>
                <a:ext uri="{FF2B5EF4-FFF2-40B4-BE49-F238E27FC236}">
                  <a16:creationId xmlns:a16="http://schemas.microsoft.com/office/drawing/2014/main" id="{B7275126-87B5-4B21-8DD4-397A7F24336A}"/>
                </a:ext>
              </a:extLst>
            </xdr:cNvPr>
            <xdr:cNvSpPr txBox="1"/>
          </xdr:nvSpPr>
          <xdr:spPr>
            <a:xfrm>
              <a:off x="4724400" y="3533775"/>
              <a:ext cx="2686050" cy="5128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:r>
                <a:rPr lang="en-US" sz="1000" b="0" i="0">
                  <a:latin typeface="Cambria Math"/>
                </a:rPr>
                <a:t>𝐼</a:t>
              </a:r>
              <a:r>
                <a:rPr lang="en-US" sz="1000" b="0" i="0">
                  <a:latin typeface="Cambria Math" panose="02040503050406030204" pitchFamily="18" charset="0"/>
                </a:rPr>
                <a:t>_(</a:t>
              </a:r>
              <a:r>
                <a:rPr lang="en-US" sz="1000" b="0" i="0">
                  <a:latin typeface="Cambria Math"/>
                </a:rPr>
                <a:t>𝐹𝐼𝐿𝑇𝐸𝑅 𝑅𝑀𝑆 𝐶𝑈𝑅𝑅𝐸𝑁𝑇</a:t>
              </a:r>
              <a:r>
                <a:rPr lang="en-US" sz="1000" b="0" i="0">
                  <a:latin typeface="Cambria Math" panose="02040503050406030204" pitchFamily="18" charset="0"/>
                </a:rPr>
                <a:t>)</a:t>
              </a:r>
              <a:r>
                <a:rPr lang="en-US" sz="1000" b="0" i="0">
                  <a:latin typeface="Cambria Math"/>
                  <a:ea typeface="Cambria Math"/>
                </a:rPr>
                <a:t>=</a:t>
              </a:r>
              <a:r>
                <a:rPr lang="en-US" sz="1000" b="0" i="0">
                  <a:latin typeface="Cambria Math" panose="02040503050406030204" pitchFamily="18" charset="0"/>
                  <a:ea typeface="Cambria Math"/>
                </a:rPr>
                <a:t>√(∑_(</a:t>
              </a:r>
              <a:r>
                <a:rPr lang="en-US" sz="1000" b="0" i="0">
                  <a:latin typeface="Cambria Math"/>
                  <a:ea typeface="Cambria Math"/>
                </a:rPr>
                <a:t>𝑛=1</a:t>
              </a:r>
              <a:r>
                <a:rPr lang="en-US" sz="1000" b="0" i="0">
                  <a:latin typeface="Cambria Math" panose="02040503050406030204" pitchFamily="18" charset="0"/>
                  <a:ea typeface="Cambria Math"/>
                </a:rPr>
                <a:t>)^</a:t>
              </a:r>
              <a:r>
                <a:rPr lang="en-US" sz="1000" b="0" i="0">
                  <a:latin typeface="Cambria Math"/>
                  <a:ea typeface="Cambria Math"/>
                </a:rPr>
                <a:t>𝑛</a:t>
              </a:r>
              <a:r>
                <a:rPr lang="en-US" sz="1000" b="0" i="0">
                  <a:latin typeface="Cambria Math" panose="02040503050406030204" pitchFamily="18" charset="0"/>
                  <a:ea typeface="Cambria Math"/>
                </a:rPr>
                <a:t>▒〖〖</a:t>
              </a:r>
              <a:r>
                <a:rPr lang="en-US" sz="1000" b="0" i="0">
                  <a:latin typeface="Cambria Math"/>
                  <a:ea typeface="Cambria Math"/>
                </a:rPr>
                <a:t>𝐼</a:t>
              </a:r>
              <a:r>
                <a:rPr lang="en-US" sz="1000" b="0" i="0">
                  <a:latin typeface="Cambria Math" panose="02040503050406030204" pitchFamily="18" charset="0"/>
                  <a:ea typeface="Cambria Math"/>
                </a:rPr>
                <a:t>_</a:t>
              </a:r>
              <a:r>
                <a:rPr lang="en-US" sz="1000" b="0" i="0">
                  <a:latin typeface="Cambria Math"/>
                  <a:ea typeface="Cambria Math"/>
                </a:rPr>
                <a:t>𝑛</a:t>
              </a:r>
              <a:r>
                <a:rPr lang="en-US" sz="1000" b="0" i="0">
                  <a:latin typeface="Cambria Math" panose="02040503050406030204" pitchFamily="18" charset="0"/>
                  <a:ea typeface="Cambria Math"/>
                </a:rPr>
                <a:t>^ 〗_^</a:t>
              </a:r>
              <a:r>
                <a:rPr lang="en-US" sz="1000" b="0" i="0">
                  <a:latin typeface="Cambria Math"/>
                  <a:ea typeface="Cambria Math"/>
                </a:rPr>
                <a:t>2  (𝑎𝑚𝑝𝑠)</a:t>
              </a:r>
              <a:r>
                <a:rPr lang="en-US" sz="1000" b="0" i="0">
                  <a:latin typeface="Cambria Math" panose="02040503050406030204" pitchFamily="18" charset="0"/>
                  <a:ea typeface="Cambria Math"/>
                </a:rPr>
                <a:t>〗)</a:t>
              </a:r>
              <a:r>
                <a:rPr lang="en-US" sz="1000" b="0"/>
                <a:t> </a:t>
              </a:r>
            </a:p>
          </xdr:txBody>
        </xdr:sp>
      </mc:Fallback>
    </mc:AlternateContent>
    <xdr:clientData/>
  </xdr:oneCellAnchor>
  <xdr:oneCellAnchor>
    <xdr:from>
      <xdr:col>8</xdr:col>
      <xdr:colOff>666750</xdr:colOff>
      <xdr:row>13</xdr:row>
      <xdr:rowOff>219075</xdr:rowOff>
    </xdr:from>
    <xdr:ext cx="3028950" cy="35368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TextBox 11">
              <a:extLst>
                <a:ext uri="{FF2B5EF4-FFF2-40B4-BE49-F238E27FC236}">
                  <a16:creationId xmlns:a16="http://schemas.microsoft.com/office/drawing/2014/main" id="{00000000-0008-0000-0000-00000C000000}"/>
                </a:ext>
              </a:extLst>
            </xdr:cNvPr>
            <xdr:cNvSpPr txBox="1"/>
          </xdr:nvSpPr>
          <xdr:spPr>
            <a:xfrm>
              <a:off x="7410450" y="3533775"/>
              <a:ext cx="3028950" cy="3536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US" sz="1000" b="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n-US" sz="1000" b="0" i="1">
                          <a:latin typeface="Cambria Math"/>
                        </a:rPr>
                        <m:t>𝐼</m:t>
                      </m:r>
                    </m:e>
                    <m:sub>
                      <m:r>
                        <a:rPr lang="en-US" sz="1000" b="0" i="1">
                          <a:latin typeface="Cambria Math"/>
                        </a:rPr>
                        <m:t>𝑅𝐴𝑇𝐸𝐷</m:t>
                      </m:r>
                      <m:r>
                        <a:rPr lang="en-US" sz="1000" b="0" i="1">
                          <a:latin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</a:rPr>
                        <m:t>𝐹𝑈𝑁𝐷𝐴𝑀𝐸𝑁𝑇𝐴𝐿</m:t>
                      </m:r>
                    </m:sub>
                  </m:sSub>
                  <m:r>
                    <a:rPr lang="en-US" sz="1000" b="0" i="1">
                      <a:latin typeface="Cambria Math"/>
                      <a:ea typeface="Cambria Math"/>
                    </a:rPr>
                    <m:t>= </m:t>
                  </m:r>
                  <m:f>
                    <m:fPr>
                      <m:ctrlPr>
                        <a:rPr lang="en-US" sz="1000" b="0" i="1">
                          <a:latin typeface="Cambria Math" panose="02040503050406030204" pitchFamily="18" charset="0"/>
                          <a:ea typeface="Cambria Math"/>
                        </a:rPr>
                      </m:ctrlPr>
                    </m:fPr>
                    <m:num>
                      <m:sSub>
                        <m:sSubPr>
                          <m:ctrlPr>
                            <a:rPr lang="en-US" sz="10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n-US" sz="10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𝑄</m:t>
                          </m:r>
                        </m:e>
                        <m:sub>
                          <m:r>
                            <a:rPr lang="en-US" sz="10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𝑒𝑓𝑓</m:t>
                          </m:r>
                        </m:sub>
                      </m:sSub>
                    </m:num>
                    <m:den>
                      <m:r>
                        <a:rPr lang="en-US" sz="1000" b="0" i="1">
                          <a:latin typeface="Cambria Math"/>
                          <a:ea typeface="Cambria Math"/>
                        </a:rPr>
                        <m:t>1.73×</m:t>
                      </m:r>
                      <m:sSup>
                        <m:sSupPr>
                          <m:ctrlPr>
                            <a:rPr lang="en-US" sz="1000" b="0" i="1">
                              <a:latin typeface="Cambria Math" panose="02040503050406030204" pitchFamily="18" charset="0"/>
                              <a:ea typeface="Cambria Math"/>
                            </a:rPr>
                          </m:ctrlPr>
                        </m:sSupPr>
                        <m:e>
                          <m:sSub>
                            <m:sSubPr>
                              <m:ctrlPr>
                                <a:rPr lang="en-US" sz="10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n-US" sz="10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𝑘𝑉</m:t>
                              </m:r>
                            </m:e>
                            <m:sub>
                              <m:r>
                                <a:rPr lang="en-US" sz="10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𝐿𝐿𝑆𝑌𝑆</m:t>
                              </m:r>
                            </m:sub>
                          </m:sSub>
                        </m:e>
                        <m:sup/>
                      </m:sSup>
                    </m:den>
                  </m:f>
                </m:oMath>
              </a14:m>
              <a:r>
                <a:rPr lang="en-US" sz="1000" b="0"/>
                <a:t> (amps)</a:t>
              </a:r>
            </a:p>
          </xdr:txBody>
        </xdr:sp>
      </mc:Choice>
      <mc:Fallback xmlns="">
        <xdr:sp macro="" textlink="">
          <xdr:nvSpPr>
            <xdr:cNvPr id="12" name="TextBox 11">
              <a:extLst>
                <a:ext uri="{FF2B5EF4-FFF2-40B4-BE49-F238E27FC236}">
                  <a16:creationId xmlns:a16="http://schemas.microsoft.com/office/drawing/2014/main" id="{06CF7337-8105-4809-9CCF-AAA2DA5828D0}"/>
                </a:ext>
              </a:extLst>
            </xdr:cNvPr>
            <xdr:cNvSpPr txBox="1"/>
          </xdr:nvSpPr>
          <xdr:spPr>
            <a:xfrm>
              <a:off x="7410450" y="3533775"/>
              <a:ext cx="3028950" cy="3536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1000" b="0" i="0">
                  <a:latin typeface="Cambria Math"/>
                </a:rPr>
                <a:t>𝐼</a:t>
              </a:r>
              <a:r>
                <a:rPr lang="en-US" sz="1000" b="0" i="0">
                  <a:latin typeface="Cambria Math" panose="02040503050406030204" pitchFamily="18" charset="0"/>
                </a:rPr>
                <a:t>_(</a:t>
              </a:r>
              <a:r>
                <a:rPr lang="en-US" sz="1000" b="0" i="0">
                  <a:latin typeface="Cambria Math"/>
                </a:rPr>
                <a:t>𝑅𝐴𝑇𝐸𝐷 𝐹𝑈𝑁𝐷𝐴𝑀𝐸𝑁𝑇𝐴𝐿</a:t>
              </a:r>
              <a:r>
                <a:rPr lang="en-US" sz="1000" b="0" i="0">
                  <a:latin typeface="Cambria Math" panose="02040503050406030204" pitchFamily="18" charset="0"/>
                </a:rPr>
                <a:t>)</a:t>
              </a:r>
              <a:r>
                <a:rPr lang="en-US" sz="1000" b="0" i="0">
                  <a:latin typeface="Cambria Math"/>
                  <a:ea typeface="Cambria Math"/>
                </a:rPr>
                <a:t>= 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𝑄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𝑒𝑓𝑓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/>
                  <a:cs typeface="+mn-cs"/>
                </a:rPr>
                <a:t>/(</a:t>
              </a:r>
              <a:r>
                <a:rPr lang="en-US" sz="1000" b="0" i="0">
                  <a:latin typeface="Cambria Math"/>
                  <a:ea typeface="Cambria Math"/>
                </a:rPr>
                <a:t>1.73×</a:t>
              </a:r>
              <a:r>
                <a:rPr lang="en-US" sz="1000" b="0" i="0">
                  <a:latin typeface="Cambria Math" panose="02040503050406030204" pitchFamily="18" charset="0"/>
                  <a:ea typeface="Cambria Math"/>
                </a:rPr>
                <a:t>〖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𝑘𝑉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〗_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𝐿𝐿𝑆𝑌𝑆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/>
                  <a:cs typeface="+mn-cs"/>
                </a:rPr>
                <a:t>〗^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/>
                  <a:cs typeface="+mn-cs"/>
                </a:rPr>
                <a:t>)</a:t>
              </a:r>
              <a:r>
                <a:rPr lang="en-US" sz="1000" b="0"/>
                <a:t> (amps)</a:t>
              </a:r>
            </a:p>
          </xdr:txBody>
        </xdr:sp>
      </mc:Fallback>
    </mc:AlternateContent>
    <xdr:clientData/>
  </xdr:oneCellAnchor>
  <xdr:oneCellAnchor>
    <xdr:from>
      <xdr:col>4</xdr:col>
      <xdr:colOff>828674</xdr:colOff>
      <xdr:row>21</xdr:row>
      <xdr:rowOff>0</xdr:rowOff>
    </xdr:from>
    <xdr:ext cx="1743076" cy="36048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TextBox 12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SpPr txBox="1"/>
          </xdr:nvSpPr>
          <xdr:spPr>
            <a:xfrm>
              <a:off x="4724399" y="5010150"/>
              <a:ext cx="1743076" cy="36048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US" sz="110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n-US" sz="1100" b="0" i="1">
                          <a:latin typeface="Cambria Math"/>
                        </a:rPr>
                        <m:t>𝑋</m:t>
                      </m:r>
                    </m:e>
                    <m:sub>
                      <m:r>
                        <a:rPr lang="en-US" sz="1100" b="0" i="1">
                          <a:latin typeface="Cambria Math"/>
                        </a:rPr>
                        <m:t>𝐶</m:t>
                      </m:r>
                    </m:sub>
                  </m:sSub>
                  <m:r>
                    <a:rPr lang="en-US" sz="1100" i="1">
                      <a:latin typeface="Cambria Math"/>
                      <a:ea typeface="Cambria Math"/>
                    </a:rPr>
                    <m:t>=</m:t>
                  </m:r>
                  <m:d>
                    <m:dPr>
                      <m:ctrlPr>
                        <a:rPr lang="en-US" sz="1100" i="1">
                          <a:latin typeface="Cambria Math" panose="02040503050406030204" pitchFamily="18" charset="0"/>
                          <a:ea typeface="Cambria Math"/>
                        </a:rPr>
                      </m:ctrlPr>
                    </m:dPr>
                    <m:e>
                      <m:f>
                        <m:fPr>
                          <m:ctrlPr>
                            <a:rPr lang="en-US" sz="1100" i="1">
                              <a:latin typeface="Cambria Math" panose="02040503050406030204" pitchFamily="18" charset="0"/>
                              <a:ea typeface="Cambria Math"/>
                            </a:rPr>
                          </m:ctrlPr>
                        </m:fPr>
                        <m:num>
                          <m:sSup>
                            <m:sSupPr>
                              <m:ctrlPr>
                                <a:rPr lang="en-US" sz="1100" i="1">
                                  <a:latin typeface="Cambria Math" panose="02040503050406030204" pitchFamily="18" charset="0"/>
                                  <a:ea typeface="Cambria Math"/>
                                </a:rPr>
                              </m:ctrlPr>
                            </m:sSupPr>
                            <m:e>
                              <m:r>
                                <a:rPr lang="en-US" sz="1100" b="0" i="1">
                                  <a:latin typeface="Cambria Math"/>
                                  <a:ea typeface="Cambria Math"/>
                                </a:rPr>
                                <m:t>h</m:t>
                              </m:r>
                            </m:e>
                            <m:sup>
                              <m:r>
                                <a:rPr lang="en-US" sz="1100" b="0" i="1">
                                  <a:latin typeface="Cambria Math"/>
                                  <a:ea typeface="Cambria Math"/>
                                </a:rPr>
                                <m:t>2</m:t>
                              </m:r>
                            </m:sup>
                          </m:sSup>
                        </m:num>
                        <m:den>
                          <m:sSup>
                            <m:sSupPr>
                              <m:ctrlPr>
                                <a:rPr lang="en-US" sz="1100" i="1">
                                  <a:latin typeface="Cambria Math" panose="02040503050406030204" pitchFamily="18" charset="0"/>
                                  <a:ea typeface="Cambria Math"/>
                                </a:rPr>
                              </m:ctrlPr>
                            </m:sSupPr>
                            <m:e>
                              <m:r>
                                <a:rPr lang="en-US" sz="1100" b="0" i="1">
                                  <a:latin typeface="Cambria Math"/>
                                  <a:ea typeface="Cambria Math"/>
                                </a:rPr>
                                <m:t>h</m:t>
                              </m:r>
                            </m:e>
                            <m:sup>
                              <m:r>
                                <a:rPr lang="en-US" sz="1100" b="0" i="1">
                                  <a:latin typeface="Cambria Math"/>
                                  <a:ea typeface="Cambria Math"/>
                                </a:rPr>
                                <m:t>2</m:t>
                              </m:r>
                            </m:sup>
                          </m:sSup>
                          <m:r>
                            <a:rPr lang="en-US" sz="1100" b="0" i="1">
                              <a:latin typeface="Cambria Math"/>
                              <a:ea typeface="Cambria Math"/>
                            </a:rPr>
                            <m:t>−1</m:t>
                          </m:r>
                        </m:den>
                      </m:f>
                    </m:e>
                  </m:d>
                  <m:sSub>
                    <m:sSubPr>
                      <m:ctrlPr>
                        <a:rPr lang="en-US" sz="1100" i="1">
                          <a:latin typeface="Cambria Math" panose="02040503050406030204" pitchFamily="18" charset="0"/>
                          <a:ea typeface="Cambria Math"/>
                        </a:rPr>
                      </m:ctrlPr>
                    </m:sSubPr>
                    <m:e>
                      <m:r>
                        <a:rPr lang="en-US" sz="1100" b="0" i="1">
                          <a:latin typeface="Cambria Math"/>
                          <a:ea typeface="Cambria Math"/>
                        </a:rPr>
                        <m:t>𝑋</m:t>
                      </m:r>
                    </m:e>
                    <m:sub>
                      <m:r>
                        <a:rPr lang="en-US" sz="1100" b="0" i="1">
                          <a:latin typeface="Cambria Math"/>
                          <a:ea typeface="Cambria Math"/>
                        </a:rPr>
                        <m:t>𝑒𝑓𝑓</m:t>
                      </m:r>
                    </m:sub>
                  </m:sSub>
                </m:oMath>
              </a14:m>
              <a:r>
                <a:rPr lang="en-US" sz="1100"/>
                <a:t> (ohms)</a:t>
              </a:r>
            </a:p>
          </xdr:txBody>
        </xdr:sp>
      </mc:Choice>
      <mc:Fallback xmlns="">
        <xdr:sp macro="" textlink="">
          <xdr:nvSpPr>
            <xdr:cNvPr id="13" name="TextBox 12">
              <a:extLst>
                <a:ext uri="{FF2B5EF4-FFF2-40B4-BE49-F238E27FC236}">
                  <a16:creationId xmlns:a16="http://schemas.microsoft.com/office/drawing/2014/main" id="{6A9D354F-2C7B-4504-BBD4-2A420772B1C5}"/>
                </a:ext>
              </a:extLst>
            </xdr:cNvPr>
            <xdr:cNvSpPr txBox="1"/>
          </xdr:nvSpPr>
          <xdr:spPr>
            <a:xfrm>
              <a:off x="4724399" y="5010150"/>
              <a:ext cx="1743076" cy="36048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1100" b="0" i="0">
                  <a:latin typeface="Cambria Math"/>
                </a:rPr>
                <a:t>𝑋</a:t>
              </a:r>
              <a:r>
                <a:rPr lang="en-US" sz="1100" b="0" i="0">
                  <a:latin typeface="Cambria Math" panose="02040503050406030204" pitchFamily="18" charset="0"/>
                </a:rPr>
                <a:t>_</a:t>
              </a:r>
              <a:r>
                <a:rPr lang="en-US" sz="1100" b="0" i="0">
                  <a:latin typeface="Cambria Math"/>
                </a:rPr>
                <a:t>𝐶</a:t>
              </a:r>
              <a:r>
                <a:rPr lang="en-US" sz="1100" i="0">
                  <a:latin typeface="Cambria Math"/>
                  <a:ea typeface="Cambria Math"/>
                </a:rPr>
                <a:t>=</a:t>
              </a:r>
              <a:r>
                <a:rPr lang="en-US" sz="1100" i="0">
                  <a:latin typeface="Cambria Math" panose="02040503050406030204" pitchFamily="18" charset="0"/>
                  <a:ea typeface="Cambria Math"/>
                </a:rPr>
                <a:t>(</a:t>
              </a:r>
              <a:r>
                <a:rPr lang="en-US" sz="1100" b="0" i="0">
                  <a:latin typeface="Cambria Math"/>
                  <a:ea typeface="Cambria Math"/>
                </a:rPr>
                <a:t>ℎ</a:t>
              </a:r>
              <a:r>
                <a:rPr lang="en-US" sz="1100" b="0" i="0">
                  <a:latin typeface="Cambria Math" panose="02040503050406030204" pitchFamily="18" charset="0"/>
                  <a:ea typeface="Cambria Math"/>
                </a:rPr>
                <a:t>^</a:t>
              </a:r>
              <a:r>
                <a:rPr lang="en-US" sz="1100" b="0" i="0">
                  <a:latin typeface="Cambria Math"/>
                  <a:ea typeface="Cambria Math"/>
                </a:rPr>
                <a:t>2</a:t>
              </a:r>
              <a:r>
                <a:rPr lang="en-US" sz="1100" b="0" i="0">
                  <a:latin typeface="Cambria Math" panose="02040503050406030204" pitchFamily="18" charset="0"/>
                  <a:ea typeface="Cambria Math"/>
                </a:rPr>
                <a:t>/(</a:t>
              </a:r>
              <a:r>
                <a:rPr lang="en-US" sz="1100" b="0" i="0">
                  <a:latin typeface="Cambria Math"/>
                  <a:ea typeface="Cambria Math"/>
                </a:rPr>
                <a:t>ℎ</a:t>
              </a:r>
              <a:r>
                <a:rPr lang="en-US" sz="1100" b="0" i="0">
                  <a:latin typeface="Cambria Math" panose="02040503050406030204" pitchFamily="18" charset="0"/>
                  <a:ea typeface="Cambria Math"/>
                </a:rPr>
                <a:t>^</a:t>
              </a:r>
              <a:r>
                <a:rPr lang="en-US" sz="1100" b="0" i="0">
                  <a:latin typeface="Cambria Math"/>
                  <a:ea typeface="Cambria Math"/>
                </a:rPr>
                <a:t>2−1</a:t>
              </a:r>
              <a:r>
                <a:rPr lang="en-US" sz="1100" b="0" i="0">
                  <a:latin typeface="Cambria Math" panose="02040503050406030204" pitchFamily="18" charset="0"/>
                  <a:ea typeface="Cambria Math"/>
                </a:rPr>
                <a:t>)) </a:t>
              </a:r>
              <a:r>
                <a:rPr lang="en-US" sz="1100" b="0" i="0">
                  <a:latin typeface="Cambria Math"/>
                  <a:ea typeface="Cambria Math"/>
                </a:rPr>
                <a:t>𝑋</a:t>
              </a:r>
              <a:r>
                <a:rPr lang="en-US" sz="1100" b="0" i="0">
                  <a:latin typeface="Cambria Math" panose="02040503050406030204" pitchFamily="18" charset="0"/>
                  <a:ea typeface="Cambria Math"/>
                </a:rPr>
                <a:t>_</a:t>
              </a:r>
              <a:r>
                <a:rPr lang="en-US" sz="1100" b="0" i="0">
                  <a:latin typeface="Cambria Math"/>
                  <a:ea typeface="Cambria Math"/>
                </a:rPr>
                <a:t>𝑒𝑓𝑓</a:t>
              </a:r>
              <a:r>
                <a:rPr lang="en-US" sz="1100"/>
                <a:t> (ohms)</a:t>
              </a:r>
            </a:p>
          </xdr:txBody>
        </xdr:sp>
      </mc:Fallback>
    </mc:AlternateContent>
    <xdr:clientData/>
  </xdr:oneCellAnchor>
  <xdr:oneCellAnchor>
    <xdr:from>
      <xdr:col>5</xdr:col>
      <xdr:colOff>0</xdr:colOff>
      <xdr:row>23</xdr:row>
      <xdr:rowOff>47625</xdr:rowOff>
    </xdr:from>
    <xdr:ext cx="1504950" cy="33272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TextBox 13">
              <a:extLst>
                <a:ext uri="{FF2B5EF4-FFF2-40B4-BE49-F238E27FC236}">
                  <a16:creationId xmlns:a16="http://schemas.microsoft.com/office/drawing/2014/main" id="{00000000-0008-0000-0000-00000E000000}"/>
                </a:ext>
              </a:extLst>
            </xdr:cNvPr>
            <xdr:cNvSpPr txBox="1"/>
          </xdr:nvSpPr>
          <xdr:spPr>
            <a:xfrm>
              <a:off x="4724400" y="5591175"/>
              <a:ext cx="1504950" cy="33272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US" sz="110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n-US" sz="1100" b="0" i="1">
                          <a:latin typeface="Cambria Math"/>
                        </a:rPr>
                        <m:t>𝑋</m:t>
                      </m:r>
                    </m:e>
                    <m:sub>
                      <m:r>
                        <a:rPr lang="en-US" sz="1100" b="0" i="1">
                          <a:latin typeface="Cambria Math"/>
                        </a:rPr>
                        <m:t>𝐿</m:t>
                      </m:r>
                    </m:sub>
                  </m:sSub>
                  <m:r>
                    <a:rPr lang="en-US" sz="1100" i="1">
                      <a:latin typeface="Cambria Math"/>
                      <a:ea typeface="Cambria Math"/>
                    </a:rPr>
                    <m:t>=</m:t>
                  </m:r>
                  <m:f>
                    <m:fPr>
                      <m:ctrlPr>
                        <a:rPr lang="en-US" sz="1100" i="1">
                          <a:latin typeface="Cambria Math" panose="02040503050406030204" pitchFamily="18" charset="0"/>
                          <a:ea typeface="Cambria Math"/>
                        </a:rPr>
                      </m:ctrlPr>
                    </m:fPr>
                    <m:num>
                      <m:sSub>
                        <m:sSubPr>
                          <m:ctrlPr>
                            <a:rPr lang="en-US" sz="1100" i="1">
                              <a:latin typeface="Cambria Math" panose="02040503050406030204" pitchFamily="18" charset="0"/>
                              <a:ea typeface="Cambria Math"/>
                            </a:rPr>
                          </m:ctrlPr>
                        </m:sSubPr>
                        <m:e>
                          <m:r>
                            <a:rPr lang="en-US" sz="1100" b="0" i="1">
                              <a:latin typeface="Cambria Math"/>
                              <a:ea typeface="Cambria Math"/>
                            </a:rPr>
                            <m:t>𝑋</m:t>
                          </m:r>
                        </m:e>
                        <m:sub>
                          <m:r>
                            <a:rPr lang="en-US" sz="1100" b="0" i="1">
                              <a:latin typeface="Cambria Math"/>
                              <a:ea typeface="Cambria Math"/>
                            </a:rPr>
                            <m:t>𝐶</m:t>
                          </m:r>
                        </m:sub>
                      </m:sSub>
                    </m:num>
                    <m:den>
                      <m:sSup>
                        <m:sSupPr>
                          <m:ctrlPr>
                            <a:rPr lang="en-US" sz="1100" i="1">
                              <a:latin typeface="Cambria Math" panose="02040503050406030204" pitchFamily="18" charset="0"/>
                              <a:ea typeface="Cambria Math"/>
                            </a:rPr>
                          </m:ctrlPr>
                        </m:sSupPr>
                        <m:e>
                          <m:r>
                            <a:rPr lang="en-US" sz="1100" b="0" i="1">
                              <a:latin typeface="Cambria Math"/>
                              <a:ea typeface="Cambria Math"/>
                            </a:rPr>
                            <m:t>h</m:t>
                          </m:r>
                        </m:e>
                        <m:sup>
                          <m:r>
                            <a:rPr lang="en-US" sz="1100" b="0" i="1">
                              <a:latin typeface="Cambria Math"/>
                              <a:ea typeface="Cambria Math"/>
                            </a:rPr>
                            <m:t>2</m:t>
                          </m:r>
                        </m:sup>
                      </m:sSup>
                    </m:den>
                  </m:f>
                </m:oMath>
              </a14:m>
              <a:r>
                <a:rPr lang="en-US" sz="1100"/>
                <a:t> (ohms)</a:t>
              </a:r>
            </a:p>
          </xdr:txBody>
        </xdr:sp>
      </mc:Choice>
      <mc:Fallback xmlns="">
        <xdr:sp macro="" textlink="">
          <xdr:nvSpPr>
            <xdr:cNvPr id="14" name="TextBox 13">
              <a:extLst>
                <a:ext uri="{FF2B5EF4-FFF2-40B4-BE49-F238E27FC236}">
                  <a16:creationId xmlns:a16="http://schemas.microsoft.com/office/drawing/2014/main" id="{FB5A3E96-B13D-4E32-8A8F-61D87D52140F}"/>
                </a:ext>
              </a:extLst>
            </xdr:cNvPr>
            <xdr:cNvSpPr txBox="1"/>
          </xdr:nvSpPr>
          <xdr:spPr>
            <a:xfrm>
              <a:off x="4724400" y="5591175"/>
              <a:ext cx="1504950" cy="33272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1100" b="0" i="0">
                  <a:latin typeface="Cambria Math"/>
                </a:rPr>
                <a:t>𝑋</a:t>
              </a:r>
              <a:r>
                <a:rPr lang="en-US" sz="1100" b="0" i="0">
                  <a:latin typeface="Cambria Math" panose="02040503050406030204" pitchFamily="18" charset="0"/>
                </a:rPr>
                <a:t>_</a:t>
              </a:r>
              <a:r>
                <a:rPr lang="en-US" sz="1100" b="0" i="0">
                  <a:latin typeface="Cambria Math"/>
                </a:rPr>
                <a:t>𝐿</a:t>
              </a:r>
              <a:r>
                <a:rPr lang="en-US" sz="1100" i="0">
                  <a:latin typeface="Cambria Math"/>
                  <a:ea typeface="Cambria Math"/>
                </a:rPr>
                <a:t>=</a:t>
              </a:r>
              <a:r>
                <a:rPr lang="en-US" sz="1100" b="0" i="0">
                  <a:latin typeface="Cambria Math"/>
                  <a:ea typeface="Cambria Math"/>
                </a:rPr>
                <a:t>𝑋</a:t>
              </a:r>
              <a:r>
                <a:rPr lang="en-US" sz="1100" b="0" i="0">
                  <a:latin typeface="Cambria Math" panose="02040503050406030204" pitchFamily="18" charset="0"/>
                  <a:ea typeface="Cambria Math"/>
                </a:rPr>
                <a:t>_</a:t>
              </a:r>
              <a:r>
                <a:rPr lang="en-US" sz="1100" b="0" i="0">
                  <a:latin typeface="Cambria Math"/>
                  <a:ea typeface="Cambria Math"/>
                </a:rPr>
                <a:t>𝐶</a:t>
              </a:r>
              <a:r>
                <a:rPr lang="en-US" sz="1100" b="0" i="0">
                  <a:latin typeface="Cambria Math" panose="02040503050406030204" pitchFamily="18" charset="0"/>
                  <a:ea typeface="Cambria Math"/>
                </a:rPr>
                <a:t>/</a:t>
              </a:r>
              <a:r>
                <a:rPr lang="en-US" sz="1100" b="0" i="0">
                  <a:latin typeface="Cambria Math"/>
                  <a:ea typeface="Cambria Math"/>
                </a:rPr>
                <a:t>ℎ</a:t>
              </a:r>
              <a:r>
                <a:rPr lang="en-US" sz="1100" b="0" i="0">
                  <a:latin typeface="Cambria Math" panose="02040503050406030204" pitchFamily="18" charset="0"/>
                  <a:ea typeface="Cambria Math"/>
                </a:rPr>
                <a:t>^</a:t>
              </a:r>
              <a:r>
                <a:rPr lang="en-US" sz="1100" b="0" i="0">
                  <a:latin typeface="Cambria Math"/>
                  <a:ea typeface="Cambria Math"/>
                </a:rPr>
                <a:t>2</a:t>
              </a:r>
              <a:r>
                <a:rPr lang="en-US" sz="1100" b="0" i="0">
                  <a:latin typeface="Cambria Math" panose="02040503050406030204" pitchFamily="18" charset="0"/>
                  <a:ea typeface="Cambria Math"/>
                </a:rPr>
                <a:t> </a:t>
              </a:r>
              <a:r>
                <a:rPr lang="en-US" sz="1100"/>
                <a:t> (ohms)</a:t>
              </a:r>
            </a:p>
          </xdr:txBody>
        </xdr:sp>
      </mc:Fallback>
    </mc:AlternateContent>
    <xdr:clientData/>
  </xdr:oneCellAnchor>
  <xdr:oneCellAnchor>
    <xdr:from>
      <xdr:col>4</xdr:col>
      <xdr:colOff>828674</xdr:colOff>
      <xdr:row>33</xdr:row>
      <xdr:rowOff>85725</xdr:rowOff>
    </xdr:from>
    <xdr:ext cx="2219325" cy="264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TextBox 14">
              <a:extLst>
                <a:ext uri="{FF2B5EF4-FFF2-40B4-BE49-F238E27FC236}">
                  <a16:creationId xmlns:a16="http://schemas.microsoft.com/office/drawing/2014/main" id="{00000000-0008-0000-0000-00000F000000}"/>
                </a:ext>
              </a:extLst>
            </xdr:cNvPr>
            <xdr:cNvSpPr txBox="1"/>
          </xdr:nvSpPr>
          <xdr:spPr>
            <a:xfrm>
              <a:off x="4724399" y="8753475"/>
              <a:ext cx="2219325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US" sz="110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n-US" sz="1100" b="0" i="1">
                          <a:latin typeface="Cambria Math"/>
                        </a:rPr>
                        <m:t>𝐼</m:t>
                      </m:r>
                    </m:e>
                    <m:sub>
                      <m:r>
                        <a:rPr lang="en-US" sz="1100" b="0" i="1">
                          <a:latin typeface="Cambria Math"/>
                        </a:rPr>
                        <m:t>𝐹𝑈𝑆𝐸</m:t>
                      </m:r>
                    </m:sub>
                  </m:sSub>
                  <m:r>
                    <a:rPr lang="en-US" sz="1100" i="1">
                      <a:latin typeface="Cambria Math"/>
                      <a:ea typeface="Cambria Math"/>
                    </a:rPr>
                    <m:t>≥</m:t>
                  </m:r>
                  <m:r>
                    <a:rPr lang="en-US" sz="1100" b="0" i="1">
                      <a:latin typeface="Cambria Math"/>
                      <a:ea typeface="Cambria Math"/>
                    </a:rPr>
                    <m:t> </m:t>
                  </m:r>
                  <m:sSub>
                    <m:sSubPr>
                      <m:ctrlPr>
                        <a:rPr lang="en-US" sz="1100" b="0" i="1">
                          <a:latin typeface="Cambria Math" panose="02040503050406030204" pitchFamily="18" charset="0"/>
                          <a:ea typeface="Cambria Math"/>
                        </a:rPr>
                      </m:ctrlPr>
                    </m:sSubPr>
                    <m:e>
                      <m:r>
                        <a:rPr lang="en-US" sz="1100" b="0" i="1">
                          <a:latin typeface="Cambria Math"/>
                          <a:ea typeface="Cambria Math"/>
                        </a:rPr>
                        <m:t>𝐼</m:t>
                      </m:r>
                    </m:e>
                    <m:sub>
                      <m:r>
                        <a:rPr lang="en-US" sz="1100" b="0" i="1">
                          <a:latin typeface="Cambria Math"/>
                          <a:ea typeface="Cambria Math"/>
                        </a:rPr>
                        <m:t>𝐶𝐴𝑃</m:t>
                      </m:r>
                    </m:sub>
                  </m:sSub>
                  <m:r>
                    <a:rPr lang="en-US" sz="1100" b="0" i="1">
                      <a:latin typeface="Cambria Math"/>
                      <a:ea typeface="Cambria Math"/>
                    </a:rPr>
                    <m:t>×1.8</m:t>
                  </m:r>
                </m:oMath>
              </a14:m>
              <a:r>
                <a:rPr lang="en-US" sz="1100"/>
                <a:t> (amps)</a:t>
              </a:r>
            </a:p>
          </xdr:txBody>
        </xdr:sp>
      </mc:Choice>
      <mc:Fallback xmlns="">
        <xdr:sp macro="" textlink="">
          <xdr:nvSpPr>
            <xdr:cNvPr id="15" name="TextBox 14">
              <a:extLst>
                <a:ext uri="{FF2B5EF4-FFF2-40B4-BE49-F238E27FC236}">
                  <a16:creationId xmlns:a16="http://schemas.microsoft.com/office/drawing/2014/main" id="{2897373B-559E-4CFC-8735-E6CB3F3EAF2D}"/>
                </a:ext>
              </a:extLst>
            </xdr:cNvPr>
            <xdr:cNvSpPr txBox="1"/>
          </xdr:nvSpPr>
          <xdr:spPr>
            <a:xfrm>
              <a:off x="4724399" y="8753475"/>
              <a:ext cx="2219325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1100" b="0" i="0">
                  <a:latin typeface="Cambria Math"/>
                </a:rPr>
                <a:t>𝐼</a:t>
              </a:r>
              <a:r>
                <a:rPr lang="en-US" sz="1100" b="0" i="0">
                  <a:latin typeface="Cambria Math" panose="02040503050406030204" pitchFamily="18" charset="0"/>
                </a:rPr>
                <a:t>_</a:t>
              </a:r>
              <a:r>
                <a:rPr lang="en-US" sz="1100" b="0" i="0">
                  <a:latin typeface="Cambria Math"/>
                </a:rPr>
                <a:t>𝐹𝑈𝑆𝐸</a:t>
              </a:r>
              <a:r>
                <a:rPr lang="en-US" sz="1100" i="0">
                  <a:latin typeface="Cambria Math"/>
                  <a:ea typeface="Cambria Math"/>
                </a:rPr>
                <a:t>≥</a:t>
              </a:r>
              <a:r>
                <a:rPr lang="en-US" sz="1100" b="0" i="0">
                  <a:latin typeface="Cambria Math"/>
                  <a:ea typeface="Cambria Math"/>
                </a:rPr>
                <a:t> 𝐼</a:t>
              </a:r>
              <a:r>
                <a:rPr lang="en-US" sz="1100" b="0" i="0">
                  <a:latin typeface="Cambria Math" panose="02040503050406030204" pitchFamily="18" charset="0"/>
                  <a:ea typeface="Cambria Math"/>
                </a:rPr>
                <a:t>_</a:t>
              </a:r>
              <a:r>
                <a:rPr lang="en-US" sz="1100" b="0" i="0">
                  <a:latin typeface="Cambria Math"/>
                  <a:ea typeface="Cambria Math"/>
                </a:rPr>
                <a:t>𝐶𝐴𝑃×1.8</a:t>
              </a:r>
              <a:r>
                <a:rPr lang="en-US" sz="1100"/>
                <a:t> (amps)</a:t>
              </a:r>
            </a:p>
          </xdr:txBody>
        </xdr:sp>
      </mc:Fallback>
    </mc:AlternateContent>
    <xdr:clientData/>
  </xdr:oneCellAnchor>
  <xdr:oneCellAnchor>
    <xdr:from>
      <xdr:col>4</xdr:col>
      <xdr:colOff>914400</xdr:colOff>
      <xdr:row>35</xdr:row>
      <xdr:rowOff>3671</xdr:rowOff>
    </xdr:from>
    <xdr:ext cx="4419600" cy="43447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TextBox 15">
              <a:extLst>
                <a:ext uri="{FF2B5EF4-FFF2-40B4-BE49-F238E27FC236}">
                  <a16:creationId xmlns:a16="http://schemas.microsoft.com/office/drawing/2014/main" id="{00000000-0008-0000-0000-000010000000}"/>
                </a:ext>
              </a:extLst>
            </xdr:cNvPr>
            <xdr:cNvSpPr txBox="1"/>
          </xdr:nvSpPr>
          <xdr:spPr>
            <a:xfrm>
              <a:off x="4724400" y="9471521"/>
              <a:ext cx="4419600" cy="43447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14:m>
                <m:oMath xmlns:m="http://schemas.openxmlformats.org/officeDocument/2006/math">
                  <m:sSub>
                    <m:sSubPr>
                      <m:ctrlPr>
                        <a:rPr lang="en-US" sz="1000" b="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n-US" sz="1000" b="0" i="1">
                          <a:latin typeface="Cambria Math"/>
                        </a:rPr>
                        <m:t>𝑉</m:t>
                      </m:r>
                    </m:e>
                    <m:sub>
                      <m:r>
                        <a:rPr lang="en-US" sz="1000" b="0" i="1">
                          <a:latin typeface="Cambria Math"/>
                        </a:rPr>
                        <m:t>𝐶𝐴𝑃</m:t>
                      </m:r>
                      <m:r>
                        <a:rPr lang="en-US" sz="1000" b="0" i="1">
                          <a:latin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</a:rPr>
                        <m:t>𝑅𝑀𝑆</m:t>
                      </m:r>
                      <m:r>
                        <a:rPr lang="en-US" sz="1000" b="0" i="1">
                          <a:latin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</a:rPr>
                        <m:t>𝑉𝑂𝐿𝑇𝐴𝐺𝐸</m:t>
                      </m:r>
                    </m:sub>
                  </m:sSub>
                  <m:r>
                    <a:rPr lang="en-US" sz="1000" b="0" i="1">
                      <a:latin typeface="Cambria Math"/>
                      <a:ea typeface="Cambria Math"/>
                    </a:rPr>
                    <m:t>=</m:t>
                  </m:r>
                  <m:rad>
                    <m:radPr>
                      <m:degHide m:val="on"/>
                      <m:ctrlPr>
                        <a:rPr lang="en-US" sz="1000" b="0" i="1">
                          <a:latin typeface="Cambria Math" panose="02040503050406030204" pitchFamily="18" charset="0"/>
                          <a:ea typeface="Cambria Math"/>
                        </a:rPr>
                      </m:ctrlPr>
                    </m:radPr>
                    <m:deg/>
                    <m:e>
                      <m:nary>
                        <m:naryPr>
                          <m:chr m:val="∑"/>
                          <m:ctrlPr>
                            <a:rPr lang="en-US" sz="1000" b="0" i="1">
                              <a:latin typeface="Cambria Math" panose="02040503050406030204" pitchFamily="18" charset="0"/>
                              <a:ea typeface="Cambria Math"/>
                            </a:rPr>
                          </m:ctrlPr>
                        </m:naryPr>
                        <m:sub>
                          <m:r>
                            <m:rPr>
                              <m:brk m:alnAt="23"/>
                            </m:rPr>
                            <a:rPr lang="en-US" sz="1000" b="0" i="1">
                              <a:latin typeface="Cambria Math"/>
                              <a:ea typeface="Cambria Math"/>
                            </a:rPr>
                            <m:t>𝑛</m:t>
                          </m:r>
                          <m:r>
                            <a:rPr lang="en-US" sz="1000" b="0" i="1">
                              <a:latin typeface="Cambria Math"/>
                              <a:ea typeface="Cambria Math"/>
                            </a:rPr>
                            <m:t>=1</m:t>
                          </m:r>
                        </m:sub>
                        <m:sup>
                          <m:r>
                            <a:rPr lang="en-US" sz="1000" b="0" i="1">
                              <a:latin typeface="Cambria Math"/>
                              <a:ea typeface="Cambria Math"/>
                            </a:rPr>
                            <m:t>𝑛</m:t>
                          </m:r>
                        </m:sup>
                        <m:e>
                          <m:sSup>
                            <m:sSupPr>
                              <m:ctrlPr>
                                <a:rPr lang="en-US" sz="1000" b="0" i="1">
                                  <a:latin typeface="Cambria Math" panose="02040503050406030204" pitchFamily="18" charset="0"/>
                                  <a:ea typeface="Cambria Math"/>
                                </a:rPr>
                              </m:ctrlPr>
                            </m:sSupPr>
                            <m:e>
                              <m:sSub>
                                <m:sSubPr>
                                  <m:ctrlP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sSubPr>
                                <m:e>
                                  <m: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/>
                                      <a:ea typeface="+mn-ea"/>
                                      <a:cs typeface="+mn-cs"/>
                                    </a:rPr>
                                    <m:t>𝑉</m:t>
                                  </m:r>
                                </m:e>
                                <m:sub>
                                  <m: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/>
                                      <a:ea typeface="+mn-ea"/>
                                      <a:cs typeface="+mn-cs"/>
                                    </a:rPr>
                                    <m:t>𝐶𝐴𝑃</m:t>
                                  </m:r>
                                  <m: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/>
                                      <a:ea typeface="+mn-ea"/>
                                      <a:cs typeface="+mn-cs"/>
                                    </a:rPr>
                                    <m:t> </m:t>
                                  </m:r>
                                  <m: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/>
                                      <a:ea typeface="+mn-ea"/>
                                      <a:cs typeface="+mn-cs"/>
                                    </a:rPr>
                                    <m:t>𝐻𝐴𝑅𝑀𝑂𝑁𝐼𝐶</m:t>
                                  </m:r>
                                  <m: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/>
                                      <a:ea typeface="+mn-ea"/>
                                      <a:cs typeface="+mn-cs"/>
                                    </a:rPr>
                                    <m:t> </m:t>
                                  </m:r>
                                  <m: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/>
                                      <a:ea typeface="+mn-ea"/>
                                      <a:cs typeface="+mn-cs"/>
                                    </a:rPr>
                                    <m:t>𝑉𝑂𝐿𝑇𝐴𝐺𝐸</m:t>
                                  </m:r>
                                  <m: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/>
                                      <a:ea typeface="+mn-ea"/>
                                      <a:cs typeface="+mn-cs"/>
                                    </a:rPr>
                                    <m:t> (</m:t>
                                  </m:r>
                                  <m: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/>
                                      <a:ea typeface="+mn-ea"/>
                                      <a:cs typeface="+mn-cs"/>
                                    </a:rPr>
                                    <m:t>𝑉𝑂𝐿𝑇𝑆</m:t>
                                  </m:r>
                                  <m: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/>
                                      <a:ea typeface="+mn-ea"/>
                                      <a:cs typeface="+mn-cs"/>
                                    </a:rPr>
                                    <m:t>)</m:t>
                                  </m:r>
                                </m:sub>
                              </m:sSub>
                            </m:e>
                            <m:sup>
                              <m:r>
                                <a:rPr lang="en-US" sz="1000" b="0" i="1">
                                  <a:latin typeface="Cambria Math"/>
                                  <a:ea typeface="Cambria Math"/>
                                </a:rPr>
                                <m:t>2</m:t>
                              </m:r>
                            </m:sup>
                          </m:sSup>
                        </m:e>
                      </m:nary>
                    </m:e>
                  </m:rad>
                </m:oMath>
              </a14:m>
              <a:r>
                <a:rPr lang="en-US" sz="1000" b="0"/>
                <a:t> /1000 (kV)</a:t>
              </a:r>
            </a:p>
          </xdr:txBody>
        </xdr:sp>
      </mc:Choice>
      <mc:Fallback xmlns="">
        <xdr:sp macro="" textlink="">
          <xdr:nvSpPr>
            <xdr:cNvPr id="16" name="TextBox 15">
              <a:extLst>
                <a:ext uri="{FF2B5EF4-FFF2-40B4-BE49-F238E27FC236}">
                  <a16:creationId xmlns:a16="http://schemas.microsoft.com/office/drawing/2014/main" id="{3FD5EB4D-5554-4122-8559-4D62A6D53922}"/>
                </a:ext>
              </a:extLst>
            </xdr:cNvPr>
            <xdr:cNvSpPr txBox="1"/>
          </xdr:nvSpPr>
          <xdr:spPr>
            <a:xfrm>
              <a:off x="4724400" y="9471521"/>
              <a:ext cx="4419600" cy="43447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:r>
                <a:rPr lang="en-US" sz="1000" b="0" i="0">
                  <a:latin typeface="Cambria Math"/>
                </a:rPr>
                <a:t>𝑉</a:t>
              </a:r>
              <a:r>
                <a:rPr lang="en-US" sz="1000" b="0" i="0">
                  <a:latin typeface="Cambria Math" panose="02040503050406030204" pitchFamily="18" charset="0"/>
                </a:rPr>
                <a:t>_(</a:t>
              </a:r>
              <a:r>
                <a:rPr lang="en-US" sz="1000" b="0" i="0">
                  <a:latin typeface="Cambria Math"/>
                </a:rPr>
                <a:t>𝐶𝐴𝑃 𝑅𝑀𝑆 𝑉𝑂𝐿𝑇𝐴𝐺𝐸</a:t>
              </a:r>
              <a:r>
                <a:rPr lang="en-US" sz="1000" b="0" i="0">
                  <a:latin typeface="Cambria Math" panose="02040503050406030204" pitchFamily="18" charset="0"/>
                </a:rPr>
                <a:t>)</a:t>
              </a:r>
              <a:r>
                <a:rPr lang="en-US" sz="1000" b="0" i="0">
                  <a:latin typeface="Cambria Math"/>
                  <a:ea typeface="Cambria Math"/>
                </a:rPr>
                <a:t>=</a:t>
              </a:r>
              <a:r>
                <a:rPr lang="en-US" sz="1000" b="0" i="0">
                  <a:latin typeface="Cambria Math" panose="02040503050406030204" pitchFamily="18" charset="0"/>
                  <a:ea typeface="Cambria Math"/>
                </a:rPr>
                <a:t>√(∑_(</a:t>
              </a:r>
              <a:r>
                <a:rPr lang="en-US" sz="1000" b="0" i="0">
                  <a:latin typeface="Cambria Math"/>
                  <a:ea typeface="Cambria Math"/>
                </a:rPr>
                <a:t>𝑛=1</a:t>
              </a:r>
              <a:r>
                <a:rPr lang="en-US" sz="1000" b="0" i="0">
                  <a:latin typeface="Cambria Math" panose="02040503050406030204" pitchFamily="18" charset="0"/>
                  <a:ea typeface="Cambria Math"/>
                </a:rPr>
                <a:t>)^</a:t>
              </a:r>
              <a:r>
                <a:rPr lang="en-US" sz="1000" b="0" i="0">
                  <a:latin typeface="Cambria Math"/>
                  <a:ea typeface="Cambria Math"/>
                </a:rPr>
                <a:t>𝑛</a:t>
              </a:r>
              <a:r>
                <a:rPr lang="en-US" sz="1000" b="0" i="0">
                  <a:latin typeface="Cambria Math" panose="02040503050406030204" pitchFamily="18" charset="0"/>
                  <a:ea typeface="Cambria Math"/>
                </a:rPr>
                <a:t>▒〖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𝑉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_(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𝐶𝐴𝑃 𝐻𝐴𝑅𝑀𝑂𝑁𝐼𝐶 𝑉𝑂𝐿𝑇𝐴𝐺𝐸 (𝑉𝑂𝐿𝑇𝑆)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/>
                  <a:cs typeface="+mn-cs"/>
                </a:rPr>
                <a:t>〗^</a:t>
              </a:r>
              <a:r>
                <a:rPr lang="en-US" sz="1000" b="0" i="0">
                  <a:latin typeface="Cambria Math"/>
                  <a:ea typeface="Cambria Math"/>
                </a:rPr>
                <a:t>2</a:t>
              </a:r>
              <a:r>
                <a:rPr lang="en-US" sz="1000" b="0" i="0">
                  <a:latin typeface="Cambria Math" panose="02040503050406030204" pitchFamily="18" charset="0"/>
                  <a:ea typeface="Cambria Math"/>
                </a:rPr>
                <a:t> )</a:t>
              </a:r>
              <a:r>
                <a:rPr lang="en-US" sz="1000" b="0"/>
                <a:t> /1000 (kV)</a:t>
              </a:r>
            </a:p>
          </xdr:txBody>
        </xdr:sp>
      </mc:Fallback>
    </mc:AlternateContent>
    <xdr:clientData/>
  </xdr:oneCellAnchor>
  <xdr:oneCellAnchor>
    <xdr:from>
      <xdr:col>4</xdr:col>
      <xdr:colOff>914399</xdr:colOff>
      <xdr:row>35</xdr:row>
      <xdr:rowOff>349704</xdr:rowOff>
    </xdr:from>
    <xdr:ext cx="3743325" cy="47897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TextBox 16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SpPr txBox="1"/>
          </xdr:nvSpPr>
          <xdr:spPr>
            <a:xfrm>
              <a:off x="4724399" y="9817554"/>
              <a:ext cx="3743325" cy="47897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0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000" b="0" i="1">
                            <a:latin typeface="Cambria Math"/>
                          </a:rPr>
                          <m:t>𝑉</m:t>
                        </m:r>
                      </m:e>
                      <m:sub>
                        <m:r>
                          <a:rPr lang="en-US" sz="1000" b="0" i="1">
                            <a:latin typeface="Cambria Math"/>
                          </a:rPr>
                          <m:t>𝐶𝐴𝑃</m:t>
                        </m:r>
                        <m:r>
                          <a:rPr lang="en-US" sz="1000" b="0" i="1">
                            <a:latin typeface="Cambria Math"/>
                          </a:rPr>
                          <m:t> </m:t>
                        </m:r>
                        <m:r>
                          <a:rPr lang="en-US" sz="1000" b="0" i="1">
                            <a:latin typeface="Cambria Math"/>
                          </a:rPr>
                          <m:t>𝑃𝐸𝐴𝐾</m:t>
                        </m:r>
                        <m:r>
                          <a:rPr lang="en-US" sz="1000" b="0" i="1">
                            <a:latin typeface="Cambria Math"/>
                          </a:rPr>
                          <m:t> </m:t>
                        </m:r>
                        <m:r>
                          <a:rPr lang="en-US" sz="1000" b="0" i="1">
                            <a:latin typeface="Cambria Math"/>
                          </a:rPr>
                          <m:t>𝑉𝑂𝐿𝑇𝐴𝐺𝐸</m:t>
                        </m:r>
                      </m:sub>
                    </m:sSub>
                    <m:r>
                      <a:rPr lang="en-US" sz="1000" b="0" i="1">
                        <a:latin typeface="Cambria Math"/>
                        <a:ea typeface="Cambria Math"/>
                      </a:rPr>
                      <m:t>=1.414 ×</m:t>
                    </m:r>
                    <m:nary>
                      <m:naryPr>
                        <m:chr m:val="∑"/>
                        <m:ctrlPr>
                          <a:rPr lang="en-US" sz="10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naryPr>
                      <m:sub>
                        <m:r>
                          <m:rPr>
                            <m:brk m:alnAt="23"/>
                          </m:rPr>
                          <a:rPr lang="en-US" sz="10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𝑛</m:t>
                        </m:r>
                        <m:r>
                          <a:rPr lang="en-US" sz="10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=1</m:t>
                        </m:r>
                      </m:sub>
                      <m:sup>
                        <m:r>
                          <a:rPr lang="en-US" sz="10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𝑛</m:t>
                        </m:r>
                      </m:sup>
                      <m:e>
                        <m:sSup>
                          <m:sSupPr>
                            <m:ctrlPr>
                              <a:rPr lang="en-US" sz="10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sSub>
                              <m:sSubPr>
                                <m:ctrlPr>
                                  <a:rPr lang="en-US" sz="10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sz="10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𝑉</m:t>
                                </m:r>
                              </m:e>
                              <m:sub>
                                <m:r>
                                  <a:rPr lang="en-US" sz="10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𝐶𝐴𝑃</m:t>
                                </m:r>
                                <m:r>
                                  <a:rPr lang="en-US" sz="10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 </m:t>
                                </m:r>
                                <m:r>
                                  <a:rPr lang="en-US" sz="10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𝐻𝐴𝑅𝑀𝑂𝑁𝐼𝐶</m:t>
                                </m:r>
                                <m:r>
                                  <a:rPr lang="en-US" sz="10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 </m:t>
                                </m:r>
                                <m:r>
                                  <a:rPr lang="en-US" sz="10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𝑉𝑂𝐿𝑇𝐴𝐺𝐸</m:t>
                                </m:r>
                              </m:sub>
                            </m:sSub>
                          </m:e>
                          <m:sup/>
                        </m:sSup>
                      </m:e>
                    </m:nary>
                  </m:oMath>
                </m:oMathPara>
              </a14:m>
              <a:endParaRPr lang="en-US" sz="1000" b="0"/>
            </a:p>
          </xdr:txBody>
        </xdr:sp>
      </mc:Choice>
      <mc:Fallback xmlns="">
        <xdr:sp macro="" textlink="">
          <xdr:nvSpPr>
            <xdr:cNvPr id="17" name="TextBox 16">
              <a:extLst>
                <a:ext uri="{FF2B5EF4-FFF2-40B4-BE49-F238E27FC236}">
                  <a16:creationId xmlns:a16="http://schemas.microsoft.com/office/drawing/2014/main" id="{7FD2FF41-B5F4-4E40-808B-A482E33F4561}"/>
                </a:ext>
              </a:extLst>
            </xdr:cNvPr>
            <xdr:cNvSpPr txBox="1"/>
          </xdr:nvSpPr>
          <xdr:spPr>
            <a:xfrm>
              <a:off x="4724399" y="9817554"/>
              <a:ext cx="3743325" cy="47897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:r>
                <a:rPr lang="en-US" sz="1000" b="0" i="0">
                  <a:latin typeface="Cambria Math"/>
                </a:rPr>
                <a:t>𝑉</a:t>
              </a:r>
              <a:r>
                <a:rPr lang="en-US" sz="1000" b="0" i="0">
                  <a:latin typeface="Cambria Math" panose="02040503050406030204" pitchFamily="18" charset="0"/>
                </a:rPr>
                <a:t>_(</a:t>
              </a:r>
              <a:r>
                <a:rPr lang="en-US" sz="1000" b="0" i="0">
                  <a:latin typeface="Cambria Math"/>
                </a:rPr>
                <a:t>𝐶𝐴𝑃 𝑃𝐸𝐴𝐾 𝑉𝑂𝐿𝑇𝐴𝐺𝐸</a:t>
              </a:r>
              <a:r>
                <a:rPr lang="en-US" sz="1000" b="0" i="0">
                  <a:latin typeface="Cambria Math" panose="02040503050406030204" pitchFamily="18" charset="0"/>
                </a:rPr>
                <a:t>)</a:t>
              </a:r>
              <a:r>
                <a:rPr lang="en-US" sz="1000" b="0" i="0">
                  <a:latin typeface="Cambria Math"/>
                  <a:ea typeface="Cambria Math"/>
                </a:rPr>
                <a:t>=1.414 ×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∑_(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𝑛=1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)^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𝑛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▒〖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𝑉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_(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𝐶𝐴𝑃 𝐻𝐴𝑅𝑀𝑂𝑁𝐼𝐶 𝑉𝑂𝐿𝑇𝐴𝐺𝐸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)〗^ </a:t>
              </a:r>
              <a:endParaRPr lang="en-US" sz="1000" b="0"/>
            </a:p>
          </xdr:txBody>
        </xdr:sp>
      </mc:Fallback>
    </mc:AlternateContent>
    <xdr:clientData/>
  </xdr:oneCellAnchor>
  <xdr:oneCellAnchor>
    <xdr:from>
      <xdr:col>4</xdr:col>
      <xdr:colOff>825011</xdr:colOff>
      <xdr:row>37</xdr:row>
      <xdr:rowOff>19786</xdr:rowOff>
    </xdr:from>
    <xdr:ext cx="2552700" cy="40884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TextBox 17">
              <a:extLst>
                <a:ext uri="{FF2B5EF4-FFF2-40B4-BE49-F238E27FC236}">
                  <a16:creationId xmlns:a16="http://schemas.microsoft.com/office/drawing/2014/main" id="{00000000-0008-0000-0000-000012000000}"/>
                </a:ext>
              </a:extLst>
            </xdr:cNvPr>
            <xdr:cNvSpPr txBox="1"/>
          </xdr:nvSpPr>
          <xdr:spPr>
            <a:xfrm>
              <a:off x="4720736" y="10287736"/>
              <a:ext cx="2552700" cy="40884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14:m>
                <m:oMath xmlns:m="http://schemas.openxmlformats.org/officeDocument/2006/math">
                  <m:sSub>
                    <m:sSubPr>
                      <m:ctrlPr>
                        <a:rPr lang="en-US" sz="1000" b="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n-US" sz="1000" b="0" i="1">
                          <a:latin typeface="Cambria Math"/>
                        </a:rPr>
                        <m:t>𝐼</m:t>
                      </m:r>
                    </m:e>
                    <m:sub>
                      <m:r>
                        <a:rPr lang="en-US" sz="1000" b="0" i="1">
                          <a:latin typeface="Cambria Math"/>
                        </a:rPr>
                        <m:t>𝐶𝐴𝑃</m:t>
                      </m:r>
                      <m:r>
                        <a:rPr lang="en-US" sz="1000" b="0" i="1">
                          <a:latin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</a:rPr>
                        <m:t>𝑅𝑀𝑆</m:t>
                      </m:r>
                      <m:r>
                        <a:rPr lang="en-US" sz="1000" b="0" i="1">
                          <a:latin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</a:rPr>
                        <m:t>𝐶𝑈𝑅𝑅𝐸𝑁𝑇</m:t>
                      </m:r>
                    </m:sub>
                  </m:sSub>
                  <m:r>
                    <a:rPr lang="en-US" sz="1000" b="0" i="1">
                      <a:latin typeface="Cambria Math"/>
                      <a:ea typeface="Cambria Math"/>
                    </a:rPr>
                    <m:t>=</m:t>
                  </m:r>
                  <m:rad>
                    <m:radPr>
                      <m:degHide m:val="on"/>
                      <m:ctrlPr>
                        <a:rPr lang="en-US" sz="1000" b="0" i="1">
                          <a:latin typeface="Cambria Math" panose="02040503050406030204" pitchFamily="18" charset="0"/>
                          <a:ea typeface="Cambria Math"/>
                        </a:rPr>
                      </m:ctrlPr>
                    </m:radPr>
                    <m:deg/>
                    <m:e>
                      <m:nary>
                        <m:naryPr>
                          <m:chr m:val="∑"/>
                          <m:ctrlPr>
                            <a:rPr lang="en-US" sz="1000" b="0" i="1">
                              <a:latin typeface="Cambria Math" panose="02040503050406030204" pitchFamily="18" charset="0"/>
                              <a:ea typeface="Cambria Math"/>
                            </a:rPr>
                          </m:ctrlPr>
                        </m:naryPr>
                        <m:sub>
                          <m:r>
                            <m:rPr>
                              <m:brk m:alnAt="23"/>
                            </m:rPr>
                            <a:rPr lang="en-US" sz="1000" b="0" i="1">
                              <a:latin typeface="Cambria Math"/>
                              <a:ea typeface="Cambria Math"/>
                            </a:rPr>
                            <m:t>𝑛</m:t>
                          </m:r>
                          <m:r>
                            <a:rPr lang="en-US" sz="1000" b="0" i="1">
                              <a:latin typeface="Cambria Math"/>
                              <a:ea typeface="Cambria Math"/>
                            </a:rPr>
                            <m:t>=1</m:t>
                          </m:r>
                        </m:sub>
                        <m:sup>
                          <m:r>
                            <a:rPr lang="en-US" sz="1000" b="0" i="1">
                              <a:latin typeface="Cambria Math"/>
                              <a:ea typeface="Cambria Math"/>
                            </a:rPr>
                            <m:t>𝑛</m:t>
                          </m:r>
                        </m:sup>
                        <m:e>
                          <m:sSubSup>
                            <m:sSubSupPr>
                              <m:ctrlPr>
                                <a:rPr lang="en-US" sz="1000" b="0" i="1">
                                  <a:latin typeface="Cambria Math" panose="02040503050406030204" pitchFamily="18" charset="0"/>
                                  <a:ea typeface="Cambria Math"/>
                                </a:rPr>
                              </m:ctrlPr>
                            </m:sSubSupPr>
                            <m:e>
                              <m:sSubSup>
                                <m:sSubSupPr>
                                  <m:ctrlPr>
                                    <a:rPr lang="en-US" sz="1000" b="0" i="1">
                                      <a:latin typeface="Cambria Math" panose="02040503050406030204" pitchFamily="18" charset="0"/>
                                      <a:ea typeface="Cambria Math"/>
                                    </a:rPr>
                                  </m:ctrlPr>
                                </m:sSubSupPr>
                                <m:e>
                                  <m:r>
                                    <a:rPr lang="en-US" sz="1000" b="0" i="1">
                                      <a:latin typeface="Cambria Math"/>
                                      <a:ea typeface="Cambria Math"/>
                                    </a:rPr>
                                    <m:t>𝐼</m:t>
                                  </m:r>
                                </m:e>
                                <m:sub>
                                  <m:r>
                                    <a:rPr lang="en-US" sz="1000" b="0" i="1">
                                      <a:latin typeface="Cambria Math"/>
                                      <a:ea typeface="Cambria Math"/>
                                    </a:rPr>
                                    <m:t>𝑛</m:t>
                                  </m:r>
                                </m:sub>
                                <m:sup/>
                              </m:sSubSup>
                            </m:e>
                            <m:sub/>
                            <m:sup>
                              <m:r>
                                <a:rPr lang="en-US" sz="1000" b="0" i="1">
                                  <a:latin typeface="Cambria Math"/>
                                  <a:ea typeface="Cambria Math"/>
                                </a:rPr>
                                <m:t>2</m:t>
                              </m:r>
                            </m:sup>
                          </m:sSubSup>
                        </m:e>
                      </m:nary>
                    </m:e>
                  </m:rad>
                </m:oMath>
              </a14:m>
              <a:r>
                <a:rPr lang="en-US" sz="1000" b="0"/>
                <a:t> /N</a:t>
              </a:r>
            </a:p>
          </xdr:txBody>
        </xdr:sp>
      </mc:Choice>
      <mc:Fallback xmlns="">
        <xdr:sp macro="" textlink="">
          <xdr:nvSpPr>
            <xdr:cNvPr id="18" name="TextBox 17">
              <a:extLst>
                <a:ext uri="{FF2B5EF4-FFF2-40B4-BE49-F238E27FC236}">
                  <a16:creationId xmlns:a16="http://schemas.microsoft.com/office/drawing/2014/main" id="{AE8A928B-2A0F-4444-840D-6BCE33C3F4FB}"/>
                </a:ext>
              </a:extLst>
            </xdr:cNvPr>
            <xdr:cNvSpPr txBox="1"/>
          </xdr:nvSpPr>
          <xdr:spPr>
            <a:xfrm>
              <a:off x="4720736" y="10287736"/>
              <a:ext cx="2552700" cy="40884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:r>
                <a:rPr lang="en-US" sz="1000" b="0" i="0">
                  <a:latin typeface="Cambria Math"/>
                </a:rPr>
                <a:t>𝐼</a:t>
              </a:r>
              <a:r>
                <a:rPr lang="en-US" sz="1000" b="0" i="0">
                  <a:latin typeface="Cambria Math" panose="02040503050406030204" pitchFamily="18" charset="0"/>
                </a:rPr>
                <a:t>_(</a:t>
              </a:r>
              <a:r>
                <a:rPr lang="en-US" sz="1000" b="0" i="0">
                  <a:latin typeface="Cambria Math"/>
                </a:rPr>
                <a:t>𝐶𝐴𝑃 𝑅𝑀𝑆 𝐶𝑈𝑅𝑅𝐸𝑁𝑇</a:t>
              </a:r>
              <a:r>
                <a:rPr lang="en-US" sz="1000" b="0" i="0">
                  <a:latin typeface="Cambria Math" panose="02040503050406030204" pitchFamily="18" charset="0"/>
                </a:rPr>
                <a:t>)</a:t>
              </a:r>
              <a:r>
                <a:rPr lang="en-US" sz="1000" b="0" i="0">
                  <a:latin typeface="Cambria Math"/>
                  <a:ea typeface="Cambria Math"/>
                </a:rPr>
                <a:t>=</a:t>
              </a:r>
              <a:r>
                <a:rPr lang="en-US" sz="1000" b="0" i="0">
                  <a:latin typeface="Cambria Math" panose="02040503050406030204" pitchFamily="18" charset="0"/>
                  <a:ea typeface="Cambria Math"/>
                </a:rPr>
                <a:t>√(∑_(</a:t>
              </a:r>
              <a:r>
                <a:rPr lang="en-US" sz="1000" b="0" i="0">
                  <a:latin typeface="Cambria Math"/>
                  <a:ea typeface="Cambria Math"/>
                </a:rPr>
                <a:t>𝑛=1</a:t>
              </a:r>
              <a:r>
                <a:rPr lang="en-US" sz="1000" b="0" i="0">
                  <a:latin typeface="Cambria Math" panose="02040503050406030204" pitchFamily="18" charset="0"/>
                  <a:ea typeface="Cambria Math"/>
                </a:rPr>
                <a:t>)^</a:t>
              </a:r>
              <a:r>
                <a:rPr lang="en-US" sz="1000" b="0" i="0">
                  <a:latin typeface="Cambria Math"/>
                  <a:ea typeface="Cambria Math"/>
                </a:rPr>
                <a:t>𝑛</a:t>
              </a:r>
              <a:r>
                <a:rPr lang="en-US" sz="1000" b="0" i="0">
                  <a:latin typeface="Cambria Math" panose="02040503050406030204" pitchFamily="18" charset="0"/>
                  <a:ea typeface="Cambria Math"/>
                </a:rPr>
                <a:t>▒〖</a:t>
              </a:r>
              <a:r>
                <a:rPr lang="en-US" sz="1000" b="0" i="0">
                  <a:latin typeface="Cambria Math"/>
                  <a:ea typeface="Cambria Math"/>
                </a:rPr>
                <a:t>𝐼</a:t>
              </a:r>
              <a:r>
                <a:rPr lang="en-US" sz="1000" b="0" i="0">
                  <a:latin typeface="Cambria Math" panose="02040503050406030204" pitchFamily="18" charset="0"/>
                  <a:ea typeface="Cambria Math"/>
                </a:rPr>
                <a:t>_</a:t>
              </a:r>
              <a:r>
                <a:rPr lang="en-US" sz="1000" b="0" i="0">
                  <a:latin typeface="Cambria Math"/>
                  <a:ea typeface="Cambria Math"/>
                </a:rPr>
                <a:t>𝑛</a:t>
              </a:r>
              <a:r>
                <a:rPr lang="en-US" sz="1000" b="0" i="0">
                  <a:latin typeface="Cambria Math" panose="02040503050406030204" pitchFamily="18" charset="0"/>
                  <a:ea typeface="Cambria Math"/>
                </a:rPr>
                <a:t>^ 〗_^</a:t>
              </a:r>
              <a:r>
                <a:rPr lang="en-US" sz="1000" b="0" i="0">
                  <a:latin typeface="Cambria Math"/>
                  <a:ea typeface="Cambria Math"/>
                </a:rPr>
                <a:t>2</a:t>
              </a:r>
              <a:r>
                <a:rPr lang="en-US" sz="1000" b="0" i="0">
                  <a:latin typeface="Cambria Math" panose="02040503050406030204" pitchFamily="18" charset="0"/>
                  <a:ea typeface="Cambria Math"/>
                </a:rPr>
                <a:t> )</a:t>
              </a:r>
              <a:r>
                <a:rPr lang="en-US" sz="1000" b="0"/>
                <a:t> /N</a:t>
              </a:r>
            </a:p>
          </xdr:txBody>
        </xdr:sp>
      </mc:Fallback>
    </mc:AlternateContent>
    <xdr:clientData/>
  </xdr:oneCellAnchor>
  <xdr:oneCellAnchor>
    <xdr:from>
      <xdr:col>5</xdr:col>
      <xdr:colOff>9525</xdr:colOff>
      <xdr:row>38</xdr:row>
      <xdr:rowOff>76201</xdr:rowOff>
    </xdr:from>
    <xdr:ext cx="2552700" cy="39052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TextBox 18">
              <a:extLst>
                <a:ext uri="{FF2B5EF4-FFF2-40B4-BE49-F238E27FC236}">
                  <a16:creationId xmlns:a16="http://schemas.microsoft.com/office/drawing/2014/main" id="{00000000-0008-0000-0000-000013000000}"/>
                </a:ext>
              </a:extLst>
            </xdr:cNvPr>
            <xdr:cNvSpPr txBox="1"/>
          </xdr:nvSpPr>
          <xdr:spPr>
            <a:xfrm>
              <a:off x="4733925" y="10715626"/>
              <a:ext cx="2552700" cy="39052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14:m>
                <m:oMath xmlns:m="http://schemas.openxmlformats.org/officeDocument/2006/math">
                  <m:sSub>
                    <m:sSubPr>
                      <m:ctrlPr>
                        <a:rPr lang="en-US" sz="1000" b="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n-US" sz="1000" b="0" i="1">
                          <a:latin typeface="Cambria Math"/>
                        </a:rPr>
                        <m:t>𝑄</m:t>
                      </m:r>
                    </m:e>
                    <m:sub>
                      <m:r>
                        <a:rPr lang="en-US" sz="1000" b="0" i="1">
                          <a:latin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</a:rPr>
                        <m:t>𝐶𝐴𝑃𝐴𝐶𝐼𝑇𝑂𝑅</m:t>
                      </m:r>
                    </m:sub>
                  </m:sSub>
                  <m:r>
                    <a:rPr lang="en-US" sz="1000" b="0" i="1">
                      <a:latin typeface="Cambria Math"/>
                      <a:ea typeface="Cambria Math"/>
                    </a:rPr>
                    <m:t>=</m:t>
                  </m:r>
                  <m:nary>
                    <m:naryPr>
                      <m:chr m:val="∑"/>
                      <m:ctrlP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naryPr>
                    <m:sub>
                      <m:r>
                        <m:rPr>
                          <m:brk m:alnAt="23"/>
                        </m:rP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𝑛</m:t>
                      </m:r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=1</m:t>
                      </m:r>
                    </m:sub>
                    <m:sup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𝑛</m:t>
                      </m:r>
                    </m:sup>
                    <m:e>
                      <m:sSubSup>
                        <m:sSubSupPr>
                          <m:ctrlPr>
                            <a:rPr lang="en-US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SupPr>
                        <m:e>
                          <m:sSubSup>
                            <m:sSubSupPr>
                              <m:ctrlPr>
                                <a:rPr lang="en-US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SupPr>
                            <m:e>
                              <m:f>
                                <m:fPr>
                                  <m:ctrlPr>
                                    <a:rPr lang="en-US" sz="11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fPr>
                                <m:num>
                                  <m:sSub>
                                    <m:sSubPr>
                                      <m:ctrlPr>
                                        <a:rPr lang="en-US" sz="1100" b="0" i="1">
                                          <a:solidFill>
                                            <a:schemeClr val="tx1"/>
                                          </a:solidFill>
                                          <a:effectLst/>
                                          <a:latin typeface="Cambria Math" panose="02040503050406030204" pitchFamily="18" charset="0"/>
                                          <a:ea typeface="+mn-ea"/>
                                          <a:cs typeface="+mn-cs"/>
                                        </a:rPr>
                                      </m:ctrlPr>
                                    </m:sSubPr>
                                    <m:e>
                                      <m:r>
                                        <a:rPr lang="en-US" sz="1100" b="0" i="1">
                                          <a:solidFill>
                                            <a:schemeClr val="tx1"/>
                                          </a:solidFill>
                                          <a:effectLst/>
                                          <a:latin typeface="Cambria Math"/>
                                          <a:ea typeface="+mn-ea"/>
                                          <a:cs typeface="+mn-cs"/>
                                        </a:rPr>
                                        <m:t>𝑋</m:t>
                                      </m:r>
                                    </m:e>
                                    <m:sub>
                                      <m:r>
                                        <a:rPr lang="en-US" sz="1100" b="0" i="1">
                                          <a:solidFill>
                                            <a:schemeClr val="tx1"/>
                                          </a:solidFill>
                                          <a:effectLst/>
                                          <a:latin typeface="Cambria Math"/>
                                          <a:ea typeface="+mn-ea"/>
                                          <a:cs typeface="+mn-cs"/>
                                        </a:rPr>
                                        <m:t>𝑐</m:t>
                                      </m:r>
                                    </m:sub>
                                  </m:sSub>
                                </m:num>
                                <m:den>
                                  <m:r>
                                    <a:rPr lang="en-US" sz="11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/>
                                      <a:ea typeface="+mn-ea"/>
                                      <a:cs typeface="+mn-cs"/>
                                    </a:rPr>
                                    <m:t>𝑛</m:t>
                                  </m:r>
                                </m:den>
                              </m:f>
                              <m:r>
                                <a:rPr lang="en-US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 </m:t>
                              </m:r>
                              <m:r>
                                <a:rPr lang="en-US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𝑥</m:t>
                              </m:r>
                              <m:r>
                                <a:rPr lang="en-US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 </m:t>
                              </m:r>
                              <m:r>
                                <a:rPr lang="en-US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𝐼</m:t>
                              </m:r>
                            </m:e>
                            <m:sub>
                              <m:r>
                                <a:rPr lang="en-US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𝑛</m:t>
                              </m:r>
                            </m:sub>
                            <m:sup/>
                          </m:sSubSup>
                        </m:e>
                        <m:sub/>
                        <m:sup>
                          <m:r>
                            <a:rPr lang="en-US" sz="11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</m:t>
                          </m:r>
                        </m:sup>
                      </m:sSubSup>
                    </m:e>
                  </m:nary>
                </m:oMath>
              </a14:m>
              <a:r>
                <a:rPr lang="en-US" sz="1000" b="0"/>
                <a:t> /1000</a:t>
              </a:r>
            </a:p>
          </xdr:txBody>
        </xdr:sp>
      </mc:Choice>
      <mc:Fallback xmlns="">
        <xdr:sp macro="" textlink="">
          <xdr:nvSpPr>
            <xdr:cNvPr id="19" name="TextBox 18">
              <a:extLst>
                <a:ext uri="{FF2B5EF4-FFF2-40B4-BE49-F238E27FC236}">
                  <a16:creationId xmlns:a16="http://schemas.microsoft.com/office/drawing/2014/main" id="{6718CA35-4E12-4896-827D-845BF33BD7A8}"/>
                </a:ext>
              </a:extLst>
            </xdr:cNvPr>
            <xdr:cNvSpPr txBox="1"/>
          </xdr:nvSpPr>
          <xdr:spPr>
            <a:xfrm>
              <a:off x="4733925" y="10715626"/>
              <a:ext cx="2552700" cy="39052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:r>
                <a:rPr lang="en-US" sz="1000" b="0" i="0">
                  <a:latin typeface="Cambria Math"/>
                </a:rPr>
                <a:t>𝑄</a:t>
              </a:r>
              <a:r>
                <a:rPr lang="en-US" sz="1000" b="0" i="0">
                  <a:latin typeface="Cambria Math" panose="02040503050406030204" pitchFamily="18" charset="0"/>
                </a:rPr>
                <a:t>_(</a:t>
              </a:r>
              <a:r>
                <a:rPr lang="en-US" sz="1000" b="0" i="0">
                  <a:latin typeface="Cambria Math"/>
                </a:rPr>
                <a:t> 𝐶𝐴𝑃𝐴𝐶𝐼𝑇𝑂𝑅</a:t>
              </a:r>
              <a:r>
                <a:rPr lang="en-US" sz="1000" b="0" i="0">
                  <a:latin typeface="Cambria Math" panose="02040503050406030204" pitchFamily="18" charset="0"/>
                </a:rPr>
                <a:t>)</a:t>
              </a:r>
              <a:r>
                <a:rPr lang="en-US" sz="1000" b="0" i="0">
                  <a:latin typeface="Cambria Math"/>
                  <a:ea typeface="Cambria Math"/>
                </a:rPr>
                <a:t>=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∑_(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𝑛=1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)^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𝑛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▒〖〖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𝑋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𝑐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𝑛  𝑥 𝐼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〗_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𝑛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^ 〗_^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</a:t>
              </a:r>
              <a:r>
                <a:rPr lang="en-US" sz="1000" b="0"/>
                <a:t> /1000</a:t>
              </a:r>
            </a:p>
          </xdr:txBody>
        </xdr:sp>
      </mc:Fallback>
    </mc:AlternateContent>
    <xdr:clientData/>
  </xdr:oneCellAnchor>
  <xdr:twoCellAnchor editAs="oneCell">
    <xdr:from>
      <xdr:col>1</xdr:col>
      <xdr:colOff>1114426</xdr:colOff>
      <xdr:row>84</xdr:row>
      <xdr:rowOff>57150</xdr:rowOff>
    </xdr:from>
    <xdr:to>
      <xdr:col>1</xdr:col>
      <xdr:colOff>1419226</xdr:colOff>
      <xdr:row>103</xdr:row>
      <xdr:rowOff>153071</xdr:rowOff>
    </xdr:to>
    <xdr:pic>
      <xdr:nvPicPr>
        <xdr:cNvPr id="20" name="Picture 19" descr="Screen Clippin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100000"/>
                  </a14:imgEffect>
                  <a14:imgEffect>
                    <a14:brightnessContrast bright="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989" t="5673" r="8401"/>
        <a:stretch/>
      </xdr:blipFill>
      <xdr:spPr>
        <a:xfrm>
          <a:off x="1276351" y="21126450"/>
          <a:ext cx="304800" cy="3743996"/>
        </a:xfrm>
        <a:prstGeom prst="rect">
          <a:avLst/>
        </a:prstGeom>
      </xdr:spPr>
    </xdr:pic>
    <xdr:clientData/>
  </xdr:twoCellAnchor>
  <xdr:twoCellAnchor editAs="oneCell">
    <xdr:from>
      <xdr:col>10</xdr:col>
      <xdr:colOff>1119616</xdr:colOff>
      <xdr:row>59</xdr:row>
      <xdr:rowOff>149931</xdr:rowOff>
    </xdr:from>
    <xdr:to>
      <xdr:col>12</xdr:col>
      <xdr:colOff>1</xdr:colOff>
      <xdr:row>61</xdr:row>
      <xdr:rowOff>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000"/>
        <a:stretch/>
      </xdr:blipFill>
      <xdr:spPr>
        <a:xfrm>
          <a:off x="9149191" y="15580431"/>
          <a:ext cx="1852185" cy="74541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28575</xdr:colOff>
          <xdr:row>9</xdr:row>
          <xdr:rowOff>38100</xdr:rowOff>
        </xdr:from>
        <xdr:to>
          <xdr:col>11</xdr:col>
          <xdr:colOff>1819275</xdr:colOff>
          <xdr:row>9</xdr:row>
          <xdr:rowOff>219075</xdr:rowOff>
        </xdr:to>
        <xdr:sp macro="" textlink="">
          <xdr:nvSpPr>
            <xdr:cNvPr id="11265" name="Scroll Bar 1" descr="slide to adjust Qeff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0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xdr:twoCellAnchor>
    <xdr:from>
      <xdr:col>1</xdr:col>
      <xdr:colOff>733426</xdr:colOff>
      <xdr:row>140</xdr:row>
      <xdr:rowOff>95250</xdr:rowOff>
    </xdr:from>
    <xdr:to>
      <xdr:col>11</xdr:col>
      <xdr:colOff>733426</xdr:colOff>
      <xdr:row>163</xdr:row>
      <xdr:rowOff>95250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10</xdr:col>
      <xdr:colOff>843391</xdr:colOff>
      <xdr:row>135</xdr:row>
      <xdr:rowOff>149931</xdr:rowOff>
    </xdr:from>
    <xdr:to>
      <xdr:col>11</xdr:col>
      <xdr:colOff>1619251</xdr:colOff>
      <xdr:row>136</xdr:row>
      <xdr:rowOff>438150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000"/>
        <a:stretch/>
      </xdr:blipFill>
      <xdr:spPr>
        <a:xfrm>
          <a:off x="8920591" y="31553856"/>
          <a:ext cx="1852185" cy="478719"/>
        </a:xfrm>
        <a:prstGeom prst="rect">
          <a:avLst/>
        </a:prstGeom>
      </xdr:spPr>
    </xdr:pic>
    <xdr:clientData/>
  </xdr:twoCellAnchor>
  <xdr:twoCellAnchor editAs="oneCell">
    <xdr:from>
      <xdr:col>30</xdr:col>
      <xdr:colOff>55747</xdr:colOff>
      <xdr:row>8</xdr:row>
      <xdr:rowOff>212911</xdr:rowOff>
    </xdr:from>
    <xdr:to>
      <xdr:col>39</xdr:col>
      <xdr:colOff>563492</xdr:colOff>
      <xdr:row>28</xdr:row>
      <xdr:rowOff>33617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86659" y="2353235"/>
          <a:ext cx="5953804" cy="4852147"/>
        </a:xfrm>
        <a:prstGeom prst="rect">
          <a:avLst/>
        </a:prstGeom>
      </xdr:spPr>
    </xdr:pic>
    <xdr:clientData/>
  </xdr:twoCellAnchor>
  <xdr:twoCellAnchor>
    <xdr:from>
      <xdr:col>30</xdr:col>
      <xdr:colOff>113844</xdr:colOff>
      <xdr:row>49</xdr:row>
      <xdr:rowOff>17319</xdr:rowOff>
    </xdr:from>
    <xdr:to>
      <xdr:col>40</xdr:col>
      <xdr:colOff>52873</xdr:colOff>
      <xdr:row>74</xdr:row>
      <xdr:rowOff>184898</xdr:rowOff>
    </xdr:to>
    <xdr:pic>
      <xdr:nvPicPr>
        <xdr:cNvPr id="28" name="1A15E2C0-B786-4708-A3A6-201C49B50B1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66"/>
        <a:stretch/>
      </xdr:blipFill>
      <xdr:spPr bwMode="auto">
        <a:xfrm>
          <a:off x="30091617" y="13490864"/>
          <a:ext cx="6000392" cy="55881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645693</xdr:colOff>
      <xdr:row>84</xdr:row>
      <xdr:rowOff>85725</xdr:rowOff>
    </xdr:from>
    <xdr:to>
      <xdr:col>1</xdr:col>
      <xdr:colOff>1228724</xdr:colOff>
      <xdr:row>102</xdr:row>
      <xdr:rowOff>172179</xdr:rowOff>
    </xdr:to>
    <xdr:pic>
      <xdr:nvPicPr>
        <xdr:cNvPr id="12" name="Picture 11" descr="Screen Clippin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0"/>
                  </a14:imgEffect>
                  <a14:imgEffect>
                    <a14:colorTemperature colorTemp="5300"/>
                  </a14:imgEffect>
                  <a14:imgEffect>
                    <a14:brightnessContrast bright="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21" r="12109"/>
        <a:stretch/>
      </xdr:blipFill>
      <xdr:spPr>
        <a:xfrm>
          <a:off x="807618" y="20650200"/>
          <a:ext cx="583031" cy="3544028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24</xdr:row>
      <xdr:rowOff>76200</xdr:rowOff>
    </xdr:from>
    <xdr:ext cx="1285876" cy="37542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SpPr txBox="1"/>
          </xdr:nvSpPr>
          <xdr:spPr>
            <a:xfrm>
              <a:off x="4724400" y="5915025"/>
              <a:ext cx="1285876" cy="37542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n-US" sz="1200" b="0" i="1">
                      <a:latin typeface="Cambria Math"/>
                    </a:rPr>
                    <m:t>𝐻</m:t>
                  </m:r>
                  <m:r>
                    <a:rPr lang="en-US" sz="1200" b="0" i="1">
                      <a:latin typeface="Cambria Math"/>
                      <a:ea typeface="Cambria Math"/>
                    </a:rPr>
                    <m:t>=</m:t>
                  </m:r>
                  <m:f>
                    <m:fPr>
                      <m:ctrlPr>
                        <a:rPr lang="en-US" sz="1200" b="0" i="1">
                          <a:latin typeface="Cambria Math" panose="02040503050406030204" pitchFamily="18" charset="0"/>
                          <a:ea typeface="Cambria Math"/>
                        </a:rPr>
                      </m:ctrlPr>
                    </m:fPr>
                    <m:num>
                      <m:sSub>
                        <m:sSubPr>
                          <m:ctrlPr>
                            <a:rPr lang="en-US" sz="1200" b="0" i="1">
                              <a:latin typeface="Cambria Math" panose="02040503050406030204" pitchFamily="18" charset="0"/>
                              <a:ea typeface="Cambria Math"/>
                            </a:rPr>
                          </m:ctrlPr>
                        </m:sSubPr>
                        <m:e>
                          <m:r>
                            <a:rPr lang="en-US" sz="1200" b="0" i="1">
                              <a:latin typeface="Cambria Math"/>
                              <a:ea typeface="Cambria Math"/>
                            </a:rPr>
                            <m:t>𝑋</m:t>
                          </m:r>
                        </m:e>
                        <m:sub>
                          <m:r>
                            <a:rPr lang="en-US" sz="1200" b="0" i="1">
                              <a:latin typeface="Cambria Math"/>
                              <a:ea typeface="Cambria Math"/>
                            </a:rPr>
                            <m:t>𝐿</m:t>
                          </m:r>
                        </m:sub>
                      </m:sSub>
                    </m:num>
                    <m:den>
                      <m:r>
                        <a:rPr lang="en-US" sz="1200" b="0" i="1">
                          <a:latin typeface="Cambria Math"/>
                          <a:ea typeface="Cambria Math"/>
                        </a:rPr>
                        <m:t>2</m:t>
                      </m:r>
                      <m:r>
                        <a:rPr lang="en-US" sz="1200" b="0" i="1">
                          <a:latin typeface="Cambria Math"/>
                          <a:ea typeface="Cambria Math"/>
                        </a:rPr>
                        <m:t>𝜋</m:t>
                      </m:r>
                      <m:r>
                        <a:rPr lang="en-US" sz="1200" b="0" i="1">
                          <a:latin typeface="Cambria Math"/>
                          <a:ea typeface="Cambria Math"/>
                        </a:rPr>
                        <m:t>𝑓</m:t>
                      </m:r>
                    </m:den>
                  </m:f>
                  <m:r>
                    <a:rPr lang="en-US" sz="1200" b="0" i="1">
                      <a:latin typeface="Cambria Math"/>
                      <a:ea typeface="Cambria Math"/>
                    </a:rPr>
                    <m:t>×1000</m:t>
                  </m:r>
                </m:oMath>
              </a14:m>
              <a:r>
                <a:rPr lang="en-US" sz="1200"/>
                <a:t> </a:t>
              </a:r>
            </a:p>
          </xdr:txBody>
        </xdr:sp>
      </mc:Choice>
      <mc:Fallback xmlns="">
        <xdr:sp macro="" textlink="">
          <xdr:nvSpPr>
            <xdr:cNvPr id="5" name="TextBox 4"/>
            <xdr:cNvSpPr txBox="1"/>
          </xdr:nvSpPr>
          <xdr:spPr>
            <a:xfrm>
              <a:off x="4724400" y="5915025"/>
              <a:ext cx="1285876" cy="37542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1200" b="0" i="0">
                  <a:latin typeface="Cambria Math"/>
                </a:rPr>
                <a:t>𝐻</a:t>
              </a:r>
              <a:r>
                <a:rPr lang="en-US" sz="1200" b="0" i="0">
                  <a:latin typeface="Cambria Math"/>
                  <a:ea typeface="Cambria Math"/>
                </a:rPr>
                <a:t>=𝑋_𝐿/2𝜋𝑓×1000</a:t>
              </a:r>
              <a:r>
                <a:rPr lang="en-US" sz="1200"/>
                <a:t> </a:t>
              </a:r>
            </a:p>
          </xdr:txBody>
        </xdr:sp>
      </mc:Fallback>
    </mc:AlternateContent>
    <xdr:clientData/>
  </xdr:oneCellAnchor>
  <xdr:oneCellAnchor>
    <xdr:from>
      <xdr:col>4</xdr:col>
      <xdr:colOff>828674</xdr:colOff>
      <xdr:row>28</xdr:row>
      <xdr:rowOff>57150</xdr:rowOff>
    </xdr:from>
    <xdr:ext cx="3562351" cy="35163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00000000-0008-0000-0100-000006000000}"/>
                </a:ext>
              </a:extLst>
            </xdr:cNvPr>
            <xdr:cNvSpPr txBox="1"/>
          </xdr:nvSpPr>
          <xdr:spPr>
            <a:xfrm>
              <a:off x="4724399" y="7096125"/>
              <a:ext cx="3562351" cy="35163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US" sz="1000" b="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sSub>
                        <m:sSubPr>
                          <m:ctrlPr>
                            <a:rPr lang="en-US" sz="1000" b="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n-US" sz="1000" b="0" i="1">
                              <a:latin typeface="Cambria Math"/>
                            </a:rPr>
                            <m:t>𝑄</m:t>
                          </m:r>
                        </m:e>
                        <m:sub>
                          <m:r>
                            <a:rPr lang="en-US" sz="1000" b="0" i="1">
                              <a:latin typeface="Cambria Math"/>
                            </a:rPr>
                            <m:t>𝑅𝐴𝑇𝐸𝐷</m:t>
                          </m:r>
                          <m:r>
                            <a:rPr lang="en-US" sz="1000" b="0" i="1">
                              <a:latin typeface="Cambria Math"/>
                            </a:rPr>
                            <m:t> </m:t>
                          </m:r>
                          <m:r>
                            <a:rPr lang="en-US" sz="1000" b="0" i="1">
                              <a:latin typeface="Cambria Math"/>
                            </a:rPr>
                            <m:t>𝑃𝐸𝑅</m:t>
                          </m:r>
                          <m:r>
                            <a:rPr lang="en-US" sz="1000" b="0" i="1">
                              <a:latin typeface="Cambria Math"/>
                            </a:rPr>
                            <m:t> </m:t>
                          </m:r>
                          <m:r>
                            <a:rPr lang="en-US" sz="1000" b="0" i="1">
                              <a:latin typeface="Cambria Math"/>
                            </a:rPr>
                            <m:t>𝑃𝐻𝐴𝑆𝐸</m:t>
                          </m:r>
                        </m:sub>
                      </m:sSub>
                      <m:r>
                        <a:rPr lang="en-US" sz="1000" b="0" i="1">
                          <a:latin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  <a:ea typeface="Cambria Math"/>
                        </a:rPr>
                        <m:t>=</m:t>
                      </m:r>
                      <m:f>
                        <m:fPr>
                          <m:ctrlPr>
                            <a:rPr lang="en-US" sz="1000" b="0" i="1">
                              <a:latin typeface="Cambria Math" panose="02040503050406030204" pitchFamily="18" charset="0"/>
                              <a:ea typeface="Cambria Math"/>
                            </a:rPr>
                          </m:ctrlPr>
                        </m:fPr>
                        <m:num>
                          <m:sSup>
                            <m:sSupPr>
                              <m:ctrlPr>
                                <a:rPr lang="en-US" sz="10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pPr>
                            <m:e>
                              <m:d>
                                <m:dPr>
                                  <m:ctrlP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dPr>
                                <m:e>
                                  <m:sSub>
                                    <m:sSubPr>
                                      <m:ctrlPr>
                                        <a:rPr lang="en-US" sz="1000" b="0" i="1">
                                          <a:solidFill>
                                            <a:schemeClr val="tx1"/>
                                          </a:solidFill>
                                          <a:effectLst/>
                                          <a:latin typeface="Cambria Math" panose="02040503050406030204" pitchFamily="18" charset="0"/>
                                          <a:ea typeface="+mn-ea"/>
                                          <a:cs typeface="+mn-cs"/>
                                        </a:rPr>
                                      </m:ctrlPr>
                                    </m:sSubPr>
                                    <m:e>
                                      <m:r>
                                        <a:rPr lang="en-US" sz="1000" b="0" i="1">
                                          <a:solidFill>
                                            <a:schemeClr val="tx1"/>
                                          </a:solidFill>
                                          <a:effectLst/>
                                          <a:latin typeface="Cambria Math"/>
                                          <a:ea typeface="+mn-ea"/>
                                          <a:cs typeface="+mn-cs"/>
                                        </a:rPr>
                                        <m:t>𝑉</m:t>
                                      </m:r>
                                    </m:e>
                                    <m:sub>
                                      <m:r>
                                        <a:rPr lang="en-US" sz="1000" b="0" i="1">
                                          <a:solidFill>
                                            <a:schemeClr val="tx1"/>
                                          </a:solidFill>
                                          <a:effectLst/>
                                          <a:latin typeface="Cambria Math"/>
                                          <a:ea typeface="+mn-ea"/>
                                          <a:cs typeface="+mn-cs"/>
                                        </a:rPr>
                                        <m:t>𝐶𝐴𝑃</m:t>
                                      </m:r>
                                      <m:r>
                                        <a:rPr lang="en-US" sz="1000" b="0" i="1">
                                          <a:solidFill>
                                            <a:schemeClr val="tx1"/>
                                          </a:solidFill>
                                          <a:effectLst/>
                                          <a:latin typeface="Cambria Math"/>
                                          <a:ea typeface="+mn-ea"/>
                                          <a:cs typeface="+mn-cs"/>
                                        </a:rPr>
                                        <m:t> </m:t>
                                      </m:r>
                                      <m:r>
                                        <a:rPr lang="en-US" sz="1000" b="0" i="1">
                                          <a:solidFill>
                                            <a:schemeClr val="tx1"/>
                                          </a:solidFill>
                                          <a:effectLst/>
                                          <a:latin typeface="Cambria Math"/>
                                          <a:ea typeface="+mn-ea"/>
                                          <a:cs typeface="+mn-cs"/>
                                        </a:rPr>
                                        <m:t>𝑅𝐴𝑇𝐼𝑁𝐺</m:t>
                                      </m:r>
                                    </m:sub>
                                  </m:sSub>
                                </m:e>
                              </m:d>
                            </m:e>
                            <m:sup>
                              <m:r>
                                <a:rPr lang="en-US" sz="10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2</m:t>
                              </m:r>
                            </m:sup>
                          </m:sSup>
                        </m:num>
                        <m:den>
                          <m:sSub>
                            <m:sSubPr>
                              <m:ctrlPr>
                                <a:rPr lang="en-US" sz="1000" b="0" i="1">
                                  <a:latin typeface="Cambria Math" panose="02040503050406030204" pitchFamily="18" charset="0"/>
                                  <a:ea typeface="Cambria Math"/>
                                </a:rPr>
                              </m:ctrlPr>
                            </m:sSubPr>
                            <m:e>
                              <m:r>
                                <a:rPr lang="en-US" sz="1000" b="0" i="1">
                                  <a:latin typeface="Cambria Math"/>
                                  <a:ea typeface="Cambria Math"/>
                                </a:rPr>
                                <m:t>𝑋</m:t>
                              </m:r>
                            </m:e>
                            <m:sub>
                              <m:r>
                                <a:rPr lang="en-US" sz="1000" b="0" i="1">
                                  <a:latin typeface="Cambria Math"/>
                                  <a:ea typeface="Cambria Math"/>
                                </a:rPr>
                                <m:t>𝐶</m:t>
                              </m:r>
                            </m:sub>
                          </m:sSub>
                        </m:den>
                      </m:f>
                      <m:r>
                        <a:rPr lang="en-US" sz="1000" b="0" i="1">
                          <a:latin typeface="Cambria Math"/>
                          <a:ea typeface="Cambria Math"/>
                        </a:rPr>
                        <m:t>×1000</m:t>
                      </m:r>
                    </m:e>
                    <m:sub/>
                  </m:sSub>
                </m:oMath>
              </a14:m>
              <a:r>
                <a:rPr lang="en-US" sz="1000" b="0"/>
                <a:t>(kvar/phase)</a:t>
              </a:r>
            </a:p>
          </xdr:txBody>
        </xdr:sp>
      </mc:Choice>
      <mc:Fallback xmlns="">
        <xdr:sp macro="" textlink="">
          <xdr:nvSpPr>
            <xdr:cNvPr id="6" name="TextBox 5"/>
            <xdr:cNvSpPr txBox="1"/>
          </xdr:nvSpPr>
          <xdr:spPr>
            <a:xfrm>
              <a:off x="4724399" y="7096125"/>
              <a:ext cx="3562351" cy="35163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en-US" sz="1000" b="0" i="0">
                  <a:latin typeface="Cambria Math"/>
                </a:rPr>
                <a:t>〖𝑄_(𝑅𝐴𝑇𝐸𝐷 𝑃𝐸𝑅 𝑃𝐻𝐴𝑆𝐸)  </a:t>
              </a:r>
              <a:r>
                <a:rPr lang="en-US" sz="1000" b="0" i="0">
                  <a:latin typeface="Cambria Math"/>
                  <a:ea typeface="Cambria Math"/>
                </a:rPr>
                <a:t>=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(𝑉_(𝐶𝐴𝑃 𝑅𝐴𝑇𝐼𝑁𝐺) )^2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Cambria Math"/>
                  <a:cs typeface="+mn-cs"/>
                </a:rPr>
                <a:t>/</a:t>
              </a:r>
              <a:r>
                <a:rPr lang="en-US" sz="1000" b="0" i="0">
                  <a:latin typeface="Cambria Math"/>
                  <a:ea typeface="Cambria Math"/>
                </a:rPr>
                <a:t>𝑋_𝐶 ×1000〗_</a:t>
              </a:r>
              <a:r>
                <a:rPr lang="en-US" sz="1000" b="0"/>
                <a:t>(kvar/phase)</a:t>
              </a:r>
            </a:p>
          </xdr:txBody>
        </xdr:sp>
      </mc:Fallback>
    </mc:AlternateContent>
    <xdr:clientData/>
  </xdr:oneCellAnchor>
  <xdr:oneCellAnchor>
    <xdr:from>
      <xdr:col>4</xdr:col>
      <xdr:colOff>923925</xdr:colOff>
      <xdr:row>33</xdr:row>
      <xdr:rowOff>400050</xdr:rowOff>
    </xdr:from>
    <xdr:ext cx="4419599" cy="24885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100-000008000000}"/>
                </a:ext>
              </a:extLst>
            </xdr:cNvPr>
            <xdr:cNvSpPr txBox="1"/>
          </xdr:nvSpPr>
          <xdr:spPr>
            <a:xfrm>
              <a:off x="4819650" y="8858250"/>
              <a:ext cx="4419599" cy="2488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0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m:rPr>
                            <m:sty m:val="p"/>
                          </m:rPr>
                          <a:rPr lang="en-US" sz="1000" b="0" i="0">
                            <a:latin typeface="Cambria Math"/>
                          </a:rPr>
                          <m:t>V</m:t>
                        </m:r>
                      </m:e>
                      <m:sub>
                        <m:r>
                          <m:rPr>
                            <m:sty m:val="p"/>
                          </m:rPr>
                          <a:rPr lang="en-US" sz="1000" b="0" i="0">
                            <a:latin typeface="Cambria Math"/>
                          </a:rPr>
                          <m:t>CAP</m:t>
                        </m:r>
                        <m:r>
                          <a:rPr lang="en-US" sz="1000" b="0" i="0">
                            <a:latin typeface="Cambria Math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US" sz="1000" b="0" i="0">
                            <a:latin typeface="Cambria Math"/>
                          </a:rPr>
                          <m:t>FUNDAMENTAL</m:t>
                        </m:r>
                        <m:r>
                          <a:rPr lang="en-US" sz="1000" b="0" i="0">
                            <a:latin typeface="Cambria Math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US" sz="1000" b="0" i="0">
                            <a:latin typeface="Cambria Math"/>
                          </a:rPr>
                          <m:t>VOLTAGE</m:t>
                        </m:r>
                      </m:sub>
                    </m:sSub>
                    <m:r>
                      <a:rPr lang="en-US" sz="1000" b="0" i="0">
                        <a:latin typeface="Cambria Math"/>
                        <a:ea typeface="Cambria Math"/>
                      </a:rPr>
                      <m:t>=</m:t>
                    </m:r>
                    <m:sSub>
                      <m:sSubPr>
                        <m:ctrlPr>
                          <a:rPr lang="en-US" sz="1000" b="0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sSubPr>
                      <m:e>
                        <m:r>
                          <m:rPr>
                            <m:sty m:val="p"/>
                          </m:rPr>
                          <a:rPr lang="en-US" sz="1000" b="0" i="0">
                            <a:latin typeface="Cambria Math"/>
                            <a:ea typeface="Cambria Math"/>
                          </a:rPr>
                          <m:t>I</m:t>
                        </m:r>
                      </m:e>
                      <m:sub>
                        <m:r>
                          <m:rPr>
                            <m:sty m:val="p"/>
                          </m:rPr>
                          <a:rPr lang="en-US" sz="1000" b="0" i="0">
                            <a:latin typeface="Cambria Math"/>
                            <a:ea typeface="Cambria Math"/>
                          </a:rPr>
                          <m:t>RATED</m:t>
                        </m:r>
                        <m:r>
                          <a:rPr lang="en-US" sz="1000" b="0" i="0">
                            <a:latin typeface="Cambria Math"/>
                            <a:ea typeface="Cambria Math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US" sz="1000" b="0" i="0">
                            <a:latin typeface="Cambria Math"/>
                            <a:ea typeface="Cambria Math"/>
                          </a:rPr>
                          <m:t>FUNDAMENTAL</m:t>
                        </m:r>
                      </m:sub>
                    </m:sSub>
                    <m:r>
                      <a:rPr lang="en-US" sz="1000" b="0" i="0">
                        <a:latin typeface="Cambria Math"/>
                        <a:ea typeface="Cambria Math"/>
                      </a:rPr>
                      <m:t>× </m:t>
                    </m:r>
                    <m:sSub>
                      <m:sSubPr>
                        <m:ctrlPr>
                          <a:rPr lang="en-US" sz="1000" b="0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sSubPr>
                      <m:e>
                        <m:r>
                          <m:rPr>
                            <m:sty m:val="p"/>
                          </m:rPr>
                          <a:rPr lang="en-US" sz="1000" b="0" i="0">
                            <a:latin typeface="Cambria Math"/>
                            <a:ea typeface="Cambria Math"/>
                          </a:rPr>
                          <m:t>X</m:t>
                        </m:r>
                      </m:e>
                      <m:sub>
                        <m:r>
                          <m:rPr>
                            <m:sty m:val="p"/>
                          </m:rPr>
                          <a:rPr lang="en-US" sz="1000" b="0" i="0">
                            <a:latin typeface="Cambria Math"/>
                            <a:ea typeface="Cambria Math"/>
                          </a:rPr>
                          <m:t>C</m:t>
                        </m:r>
                      </m:sub>
                    </m:sSub>
                    <m:r>
                      <a:rPr lang="en-US" sz="1000" b="0" i="1">
                        <a:latin typeface="Cambria Math"/>
                        <a:ea typeface="Cambria Math"/>
                      </a:rPr>
                      <m:t>/1000</m:t>
                    </m:r>
                  </m:oMath>
                </m:oMathPara>
              </a14:m>
              <a:endParaRPr lang="en-US" sz="1000" b="0" i="0"/>
            </a:p>
          </xdr:txBody>
        </xdr:sp>
      </mc:Choice>
      <mc:Fallback xmlns="">
        <xdr:sp macro="" textlink="">
          <xdr:nvSpPr>
            <xdr:cNvPr id="8" name="TextBox 7"/>
            <xdr:cNvSpPr txBox="1"/>
          </xdr:nvSpPr>
          <xdr:spPr>
            <a:xfrm>
              <a:off x="4819650" y="8858250"/>
              <a:ext cx="4419599" cy="2488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en-US" sz="1000" b="0" i="0">
                  <a:latin typeface="Cambria Math"/>
                </a:rPr>
                <a:t>V_(CAP FUNDAMENTAL VOLTAGE)</a:t>
              </a:r>
              <a:r>
                <a:rPr lang="en-US" sz="1000" b="0" i="0">
                  <a:latin typeface="Cambria Math"/>
                  <a:ea typeface="Cambria Math"/>
                </a:rPr>
                <a:t>=I_(RATED FUNDAMENTAL)× X_C/1000</a:t>
              </a:r>
              <a:endParaRPr lang="en-US" sz="1000" b="0" i="0"/>
            </a:p>
          </xdr:txBody>
        </xdr:sp>
      </mc:Fallback>
    </mc:AlternateContent>
    <xdr:clientData/>
  </xdr:oneCellAnchor>
  <xdr:oneCellAnchor>
    <xdr:from>
      <xdr:col>1</xdr:col>
      <xdr:colOff>2571750</xdr:colOff>
      <xdr:row>66</xdr:row>
      <xdr:rowOff>171450</xdr:rowOff>
    </xdr:from>
    <xdr:ext cx="2209800" cy="42383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TextBox 8">
              <a:extLst>
                <a:ext uri="{FF2B5EF4-FFF2-40B4-BE49-F238E27FC236}">
                  <a16:creationId xmlns:a16="http://schemas.microsoft.com/office/drawing/2014/main" id="{00000000-0008-0000-0100-000009000000}"/>
                </a:ext>
              </a:extLst>
            </xdr:cNvPr>
            <xdr:cNvSpPr txBox="1"/>
          </xdr:nvSpPr>
          <xdr:spPr>
            <a:xfrm>
              <a:off x="2733675" y="12925425"/>
              <a:ext cx="2209800" cy="42383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/>
                          </a:rPr>
                          <m:t>𝑉</m:t>
                        </m:r>
                      </m:e>
                      <m:sub>
                        <m:r>
                          <a:rPr lang="en-US" sz="1100" b="0" i="1">
                            <a:latin typeface="Cambria Math"/>
                          </a:rPr>
                          <m:t>𝐶𝐴𝑃</m:t>
                        </m:r>
                        <m:r>
                          <a:rPr lang="en-US" sz="1100" b="0" i="1">
                            <a:latin typeface="Cambria Math"/>
                          </a:rPr>
                          <m:t> </m:t>
                        </m:r>
                        <m:r>
                          <a:rPr lang="en-US" sz="1100" b="0" i="1">
                            <a:latin typeface="Cambria Math"/>
                          </a:rPr>
                          <m:t>𝐻𝐴𝑅𝑀𝑂𝑁𝐼𝐶</m:t>
                        </m:r>
                        <m:r>
                          <a:rPr lang="en-US" sz="1100" b="0" i="1">
                            <a:latin typeface="Cambria Math"/>
                          </a:rPr>
                          <m:t> </m:t>
                        </m:r>
                        <m:r>
                          <a:rPr lang="en-US" sz="1100" b="0" i="1">
                            <a:latin typeface="Cambria Math"/>
                          </a:rPr>
                          <m:t>𝑉𝑂𝐿𝑇𝐴𝐺𝐸</m:t>
                        </m:r>
                      </m:sub>
                    </m:sSub>
                    <m:r>
                      <a:rPr lang="en-US" sz="1100" b="0" i="1">
                        <a:latin typeface="Cambria Math"/>
                        <a:ea typeface="Cambria Math"/>
                      </a:rPr>
                      <m:t>=</m:t>
                    </m:r>
                    <m:f>
                      <m:fPr>
                        <m:ctrlPr>
                          <a:rPr lang="en-US" sz="1100" b="0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𝑋</m:t>
                            </m:r>
                          </m:e>
                          <m:sub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𝐶</m:t>
                            </m:r>
                          </m:sub>
                        </m:sSub>
                      </m:num>
                      <m:den>
                        <m:r>
                          <a:rPr lang="en-US" sz="1100" b="0" i="1">
                            <a:latin typeface="Cambria Math"/>
                            <a:ea typeface="Cambria Math"/>
                          </a:rPr>
                          <m:t>𝑛</m:t>
                        </m:r>
                      </m:den>
                    </m:f>
                    <m:r>
                      <a:rPr lang="en-US" sz="1100" b="0" i="1">
                        <a:latin typeface="Cambria Math"/>
                        <a:ea typeface="Cambria Math"/>
                      </a:rPr>
                      <m:t>×</m:t>
                    </m:r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/>
                            <a:ea typeface="Cambria Math"/>
                          </a:rPr>
                          <m:t>𝐼</m:t>
                        </m:r>
                      </m:e>
                      <m:sub>
                        <m:r>
                          <a:rPr lang="en-US" sz="1100" b="0" i="1">
                            <a:latin typeface="Cambria Math"/>
                            <a:ea typeface="Cambria Math"/>
                          </a:rPr>
                          <m:t>𝑛</m:t>
                        </m:r>
                      </m:sub>
                    </m:sSub>
                  </m:oMath>
                </m:oMathPara>
              </a14:m>
              <a:endParaRPr lang="en-US" sz="1100" b="0"/>
            </a:p>
          </xdr:txBody>
        </xdr:sp>
      </mc:Choice>
      <mc:Fallback xmlns="">
        <xdr:sp macro="" textlink="">
          <xdr:nvSpPr>
            <xdr:cNvPr id="9" name="TextBox 8"/>
            <xdr:cNvSpPr txBox="1"/>
          </xdr:nvSpPr>
          <xdr:spPr>
            <a:xfrm>
              <a:off x="2733675" y="12925425"/>
              <a:ext cx="2209800" cy="42383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en-US" sz="1100" b="0" i="0">
                  <a:latin typeface="Cambria Math"/>
                </a:rPr>
                <a:t>𝑉_(𝐶𝐴𝑃 𝐻𝐴𝑅𝑀𝑂𝑁𝐼𝐶 𝑉𝑂𝐿𝑇𝐴𝐺𝐸)</a:t>
              </a:r>
              <a:r>
                <a:rPr lang="en-US" sz="1100" b="0" i="0">
                  <a:latin typeface="Cambria Math"/>
                  <a:ea typeface="Cambria Math"/>
                </a:rPr>
                <a:t>=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𝑋_𝐶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Cambria Math"/>
                  <a:cs typeface="+mn-cs"/>
                </a:rPr>
                <a:t>/</a:t>
              </a:r>
              <a:r>
                <a:rPr lang="en-US" sz="1100" b="0" i="0">
                  <a:latin typeface="Cambria Math"/>
                  <a:ea typeface="Cambria Math"/>
                </a:rPr>
                <a:t>𝑛×𝐼_𝑛</a:t>
              </a:r>
              <a:endParaRPr lang="en-US" sz="1100" b="0"/>
            </a:p>
          </xdr:txBody>
        </xdr:sp>
      </mc:Fallback>
    </mc:AlternateContent>
    <xdr:clientData/>
  </xdr:oneCellAnchor>
  <xdr:oneCellAnchor>
    <xdr:from>
      <xdr:col>4</xdr:col>
      <xdr:colOff>828676</xdr:colOff>
      <xdr:row>31</xdr:row>
      <xdr:rowOff>211792</xdr:rowOff>
    </xdr:from>
    <xdr:ext cx="1724024" cy="3794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TextBox 12">
              <a:extLst>
                <a:ext uri="{FF2B5EF4-FFF2-40B4-BE49-F238E27FC236}">
                  <a16:creationId xmlns:a16="http://schemas.microsoft.com/office/drawing/2014/main" id="{00000000-0008-0000-0100-00000D000000}"/>
                </a:ext>
              </a:extLst>
            </xdr:cNvPr>
            <xdr:cNvSpPr txBox="1"/>
          </xdr:nvSpPr>
          <xdr:spPr>
            <a:xfrm>
              <a:off x="4717117" y="8123145"/>
              <a:ext cx="1724024" cy="3794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0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000" b="0" i="1">
                            <a:latin typeface="Cambria Math"/>
                          </a:rPr>
                          <m:t>𝐼</m:t>
                        </m:r>
                      </m:e>
                      <m:sub>
                        <m:r>
                          <a:rPr lang="en-US" sz="1000" b="0" i="1">
                            <a:latin typeface="Cambria Math"/>
                          </a:rPr>
                          <m:t>𝐶𝐴𝑃</m:t>
                        </m:r>
                      </m:sub>
                    </m:sSub>
                    <m:r>
                      <a:rPr lang="en-US" sz="1000" b="0" i="1">
                        <a:latin typeface="Cambria Math"/>
                        <a:ea typeface="Cambria Math"/>
                      </a:rPr>
                      <m:t>= </m:t>
                    </m:r>
                    <m:f>
                      <m:fPr>
                        <m:ctrlPr>
                          <a:rPr lang="en-US" sz="1000" b="0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US" sz="10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0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𝐼</m:t>
                            </m:r>
                          </m:e>
                          <m:sub>
                            <m:r>
                              <a:rPr lang="en-US" sz="10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𝑅𝐴𝑇𝐸𝐷</m:t>
                            </m:r>
                            <m:r>
                              <a:rPr lang="en-US" sz="10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 </m:t>
                            </m:r>
                            <m:r>
                              <a:rPr lang="en-US" sz="10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𝐹𝑈𝑁𝐷𝐴𝑀𝐸𝑁𝑇𝐴𝐿</m:t>
                            </m:r>
                          </m:sub>
                        </m:sSub>
                      </m:num>
                      <m:den>
                        <m:r>
                          <a:rPr lang="en-US" sz="10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𝑁</m:t>
                        </m:r>
                      </m:den>
                    </m:f>
                  </m:oMath>
                </m:oMathPara>
              </a14:m>
              <a:endParaRPr lang="en-US" sz="1000" b="0"/>
            </a:p>
          </xdr:txBody>
        </xdr:sp>
      </mc:Choice>
      <mc:Fallback xmlns="">
        <xdr:sp macro="" textlink="">
          <xdr:nvSpPr>
            <xdr:cNvPr id="13" name="TextBox 12"/>
            <xdr:cNvSpPr txBox="1"/>
          </xdr:nvSpPr>
          <xdr:spPr>
            <a:xfrm>
              <a:off x="4717117" y="8123145"/>
              <a:ext cx="1724024" cy="3794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en-US" sz="1000" b="0" i="0">
                  <a:latin typeface="Cambria Math"/>
                </a:rPr>
                <a:t>𝐼_𝐶𝐴𝑃</a:t>
              </a:r>
              <a:r>
                <a:rPr lang="en-US" sz="1000" b="0" i="0">
                  <a:latin typeface="Cambria Math"/>
                  <a:ea typeface="Cambria Math"/>
                </a:rPr>
                <a:t>= 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 𝐼_(𝑅𝐴𝑇𝐸𝐷 𝐹𝑈𝑁𝐷𝐴𝑀𝐸𝑁𝑇𝐴𝐿)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Cambria Math"/>
                  <a:cs typeface="+mn-cs"/>
                </a:rPr>
                <a:t>/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𝑁</a:t>
              </a:r>
              <a:endParaRPr lang="en-US" sz="1000" b="0"/>
            </a:p>
          </xdr:txBody>
        </xdr:sp>
      </mc:Fallback>
    </mc:AlternateContent>
    <xdr:clientData/>
  </xdr:oneCellAnchor>
  <xdr:oneCellAnchor>
    <xdr:from>
      <xdr:col>5</xdr:col>
      <xdr:colOff>238125</xdr:colOff>
      <xdr:row>17</xdr:row>
      <xdr:rowOff>171450</xdr:rowOff>
    </xdr:from>
    <xdr:ext cx="2133601" cy="28020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TextBox 16">
              <a:extLst>
                <a:ext uri="{FF2B5EF4-FFF2-40B4-BE49-F238E27FC236}">
                  <a16:creationId xmlns:a16="http://schemas.microsoft.com/office/drawing/2014/main" id="{00000000-0008-0000-0100-000011000000}"/>
                </a:ext>
              </a:extLst>
            </xdr:cNvPr>
            <xdr:cNvSpPr txBox="1"/>
          </xdr:nvSpPr>
          <xdr:spPr>
            <a:xfrm>
              <a:off x="4962525" y="4400550"/>
              <a:ext cx="2133601" cy="280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n-US" sz="1200" b="0" i="1">
                      <a:latin typeface="Cambria Math"/>
                    </a:rPr>
                    <m:t>𝑅</m:t>
                  </m:r>
                  <m:r>
                    <a:rPr lang="en-US" sz="1200" b="0" i="1">
                      <a:latin typeface="Cambria Math"/>
                      <a:ea typeface="Cambria Math"/>
                    </a:rPr>
                    <m:t>=</m:t>
                  </m:r>
                  <m:sSub>
                    <m:sSubPr>
                      <m:ctrlPr>
                        <a:rPr lang="en-US" sz="1200" b="0" i="1">
                          <a:latin typeface="Cambria Math" panose="02040503050406030204" pitchFamily="18" charset="0"/>
                          <a:ea typeface="Cambria Math"/>
                        </a:rPr>
                      </m:ctrlPr>
                    </m:sSubPr>
                    <m:e>
                      <m:r>
                        <a:rPr lang="en-US" sz="1200" b="0" i="1">
                          <a:latin typeface="Cambria Math"/>
                          <a:ea typeface="Cambria Math"/>
                        </a:rPr>
                        <m:t>𝑋</m:t>
                      </m:r>
                    </m:e>
                    <m:sub>
                      <m:r>
                        <a:rPr lang="en-US" sz="1200" b="0" i="1">
                          <a:latin typeface="Cambria Math"/>
                          <a:ea typeface="Cambria Math"/>
                        </a:rPr>
                        <m:t>𝐿</m:t>
                      </m:r>
                    </m:sub>
                  </m:sSub>
                  <m:r>
                    <a:rPr lang="en-US" sz="1200" b="0" i="1">
                      <a:latin typeface="Cambria Math"/>
                      <a:ea typeface="Cambria Math"/>
                    </a:rPr>
                    <m:t>×</m:t>
                  </m:r>
                  <m:r>
                    <a:rPr lang="en-US" sz="1200" b="0" i="1">
                      <a:latin typeface="Cambria Math"/>
                      <a:ea typeface="Cambria Math"/>
                    </a:rPr>
                    <m:t>𝐷𝐹</m:t>
                  </m:r>
                  <m:r>
                    <a:rPr lang="en-US" sz="1200" b="0" i="1">
                      <a:latin typeface="Cambria Math"/>
                      <a:ea typeface="Cambria Math"/>
                    </a:rPr>
                    <m:t>×</m:t>
                  </m:r>
                  <m:r>
                    <a:rPr lang="en-US" sz="1200" b="0" i="1">
                      <a:latin typeface="Cambria Math"/>
                      <a:ea typeface="Cambria Math"/>
                    </a:rPr>
                    <m:t>h</m:t>
                  </m:r>
                </m:oMath>
              </a14:m>
              <a:r>
                <a:rPr lang="en-US" sz="1200"/>
                <a:t> (ohms)</a:t>
              </a:r>
            </a:p>
          </xdr:txBody>
        </xdr:sp>
      </mc:Choice>
      <mc:Fallback xmlns="">
        <xdr:sp macro="" textlink="">
          <xdr:nvSpPr>
            <xdr:cNvPr id="17" name="TextBox 16"/>
            <xdr:cNvSpPr txBox="1"/>
          </xdr:nvSpPr>
          <xdr:spPr>
            <a:xfrm>
              <a:off x="4962525" y="4400550"/>
              <a:ext cx="2133601" cy="280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1200" b="0" i="0">
                  <a:latin typeface="Cambria Math"/>
                </a:rPr>
                <a:t>𝑅</a:t>
              </a:r>
              <a:r>
                <a:rPr lang="en-US" sz="1200" b="0" i="0">
                  <a:latin typeface="Cambria Math"/>
                  <a:ea typeface="Cambria Math"/>
                </a:rPr>
                <a:t>=𝑋_𝐿×𝐷𝐹×ℎ</a:t>
              </a:r>
              <a:r>
                <a:rPr lang="en-US" sz="1200"/>
                <a:t> (ohms)</a:t>
              </a:r>
            </a:p>
          </xdr:txBody>
        </xdr:sp>
      </mc:Fallback>
    </mc:AlternateContent>
    <xdr:clientData/>
  </xdr:oneCellAnchor>
  <xdr:oneCellAnchor>
    <xdr:from>
      <xdr:col>5</xdr:col>
      <xdr:colOff>133350</xdr:colOff>
      <xdr:row>66</xdr:row>
      <xdr:rowOff>171450</xdr:rowOff>
    </xdr:from>
    <xdr:ext cx="2209800" cy="43890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TextBox 17">
              <a:extLst>
                <a:ext uri="{FF2B5EF4-FFF2-40B4-BE49-F238E27FC236}">
                  <a16:creationId xmlns:a16="http://schemas.microsoft.com/office/drawing/2014/main" id="{00000000-0008-0000-0100-000012000000}"/>
                </a:ext>
              </a:extLst>
            </xdr:cNvPr>
            <xdr:cNvSpPr txBox="1"/>
          </xdr:nvSpPr>
          <xdr:spPr>
            <a:xfrm>
              <a:off x="4857750" y="12925425"/>
              <a:ext cx="2209800" cy="43890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/>
                          </a:rPr>
                          <m:t>𝐼</m:t>
                        </m:r>
                      </m:e>
                      <m:sub>
                        <m:r>
                          <a:rPr lang="en-US" sz="1100" b="0" i="1">
                            <a:latin typeface="Cambria Math"/>
                          </a:rPr>
                          <m:t>𝑅𝐸𝑆𝐼𝑆𝑇𝑂𝑅</m:t>
                        </m:r>
                        <m:r>
                          <a:rPr lang="en-US" sz="1100" b="0" i="1">
                            <a:latin typeface="Cambria Math"/>
                          </a:rPr>
                          <m:t> (</m:t>
                        </m:r>
                        <m:r>
                          <a:rPr lang="en-US" sz="1100" b="0" i="1">
                            <a:latin typeface="Cambria Math"/>
                          </a:rPr>
                          <m:t>𝑛</m:t>
                        </m:r>
                        <m:r>
                          <a:rPr lang="en-US" sz="1100" b="0" i="1">
                            <a:latin typeface="Cambria Math"/>
                          </a:rPr>
                          <m:t>)</m:t>
                        </m:r>
                      </m:sub>
                    </m:sSub>
                    <m:r>
                      <a:rPr lang="en-US" sz="1100" b="0" i="1">
                        <a:latin typeface="Cambria Math"/>
                        <a:ea typeface="Cambria Math"/>
                      </a:rPr>
                      <m:t>=</m:t>
                    </m:r>
                    <m:f>
                      <m:fPr>
                        <m:ctrlPr>
                          <a:rPr lang="en-US" sz="1100" b="0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𝑋</m:t>
                            </m:r>
                          </m:e>
                          <m:sub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𝐿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𝑅</m:t>
                            </m:r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+</m:t>
                            </m:r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𝑗𝑋</m:t>
                            </m:r>
                          </m:e>
                          <m:sub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𝐿</m:t>
                            </m:r>
                          </m:sub>
                        </m:sSub>
                      </m:den>
                    </m:f>
                    <m:r>
                      <a:rPr lang="en-US" sz="1100" b="0" i="1">
                        <a:latin typeface="Cambria Math"/>
                        <a:ea typeface="Cambria Math"/>
                      </a:rPr>
                      <m:t>×</m:t>
                    </m:r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/>
                            <a:ea typeface="Cambria Math"/>
                          </a:rPr>
                          <m:t>𝐼</m:t>
                        </m:r>
                      </m:e>
                      <m:sub>
                        <m:r>
                          <a:rPr lang="en-US" sz="1100" b="0" i="1">
                            <a:latin typeface="Cambria Math"/>
                            <a:ea typeface="Cambria Math"/>
                          </a:rPr>
                          <m:t>𝑛</m:t>
                        </m:r>
                      </m:sub>
                    </m:sSub>
                  </m:oMath>
                </m:oMathPara>
              </a14:m>
              <a:endParaRPr lang="en-US" sz="1100" b="0"/>
            </a:p>
          </xdr:txBody>
        </xdr:sp>
      </mc:Choice>
      <mc:Fallback xmlns="">
        <xdr:sp macro="" textlink="">
          <xdr:nvSpPr>
            <xdr:cNvPr id="18" name="TextBox 17"/>
            <xdr:cNvSpPr txBox="1"/>
          </xdr:nvSpPr>
          <xdr:spPr>
            <a:xfrm>
              <a:off x="4857750" y="12925425"/>
              <a:ext cx="2209800" cy="43890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en-US" sz="1100" b="0" i="0">
                  <a:latin typeface="Cambria Math"/>
                </a:rPr>
                <a:t>𝐼_(𝑅𝐸𝑆𝐼𝑆𝑇𝑂𝑅 (𝑛))</a:t>
              </a:r>
              <a:r>
                <a:rPr lang="en-US" sz="1100" b="0" i="0">
                  <a:latin typeface="Cambria Math"/>
                  <a:ea typeface="Cambria Math"/>
                </a:rPr>
                <a:t>=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𝑋_𝐿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Cambria Math"/>
                  <a:cs typeface="+mn-cs"/>
                </a:rPr>
                <a:t>/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〖𝑅+𝑗𝑋〗_𝐿 </a:t>
              </a:r>
              <a:r>
                <a:rPr lang="en-US" sz="1100" b="0" i="0">
                  <a:latin typeface="Cambria Math"/>
                  <a:ea typeface="Cambria Math"/>
                </a:rPr>
                <a:t>×𝐼_𝑛</a:t>
              </a:r>
              <a:endParaRPr lang="en-US" sz="1100" b="0"/>
            </a:p>
          </xdr:txBody>
        </xdr:sp>
      </mc:Fallback>
    </mc:AlternateContent>
    <xdr:clientData/>
  </xdr:oneCellAnchor>
  <xdr:oneCellAnchor>
    <xdr:from>
      <xdr:col>7</xdr:col>
      <xdr:colOff>647700</xdr:colOff>
      <xdr:row>66</xdr:row>
      <xdr:rowOff>161925</xdr:rowOff>
    </xdr:from>
    <xdr:ext cx="2209800" cy="45461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TextBox 18">
              <a:extLst>
                <a:ext uri="{FF2B5EF4-FFF2-40B4-BE49-F238E27FC236}">
                  <a16:creationId xmlns:a16="http://schemas.microsoft.com/office/drawing/2014/main" id="{00000000-0008-0000-0100-000013000000}"/>
                </a:ext>
              </a:extLst>
            </xdr:cNvPr>
            <xdr:cNvSpPr txBox="1"/>
          </xdr:nvSpPr>
          <xdr:spPr>
            <a:xfrm>
              <a:off x="6705600" y="12915900"/>
              <a:ext cx="2209800" cy="45461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/>
                          </a:rPr>
                          <m:t>𝐼</m:t>
                        </m:r>
                      </m:e>
                      <m:sub>
                        <m:r>
                          <a:rPr lang="en-US" sz="1100" b="0" i="1">
                            <a:latin typeface="Cambria Math"/>
                          </a:rPr>
                          <m:t>𝑅𝐸𝐴𝐶𝑇𝑂𝑅</m:t>
                        </m:r>
                        <m:r>
                          <a:rPr lang="en-US" sz="1100" b="0" i="1">
                            <a:latin typeface="Cambria Math"/>
                          </a:rPr>
                          <m:t> (</m:t>
                        </m:r>
                        <m:r>
                          <a:rPr lang="en-US" sz="1100" b="0" i="1">
                            <a:latin typeface="Cambria Math"/>
                          </a:rPr>
                          <m:t>𝑛</m:t>
                        </m:r>
                        <m:r>
                          <a:rPr lang="en-US" sz="1100" b="0" i="1">
                            <a:latin typeface="Cambria Math"/>
                          </a:rPr>
                          <m:t>)</m:t>
                        </m:r>
                      </m:sub>
                    </m:sSub>
                    <m:r>
                      <a:rPr lang="en-US" sz="1100" b="0" i="1">
                        <a:latin typeface="Cambria Math"/>
                        <a:ea typeface="Cambria Math"/>
                      </a:rPr>
                      <m:t>=</m:t>
                    </m:r>
                    <m:f>
                      <m:fPr>
                        <m:ctrlPr>
                          <a:rPr lang="en-US" sz="1100" b="0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fPr>
                      <m:num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𝑅</m:t>
                        </m:r>
                      </m:num>
                      <m:den>
                        <m:sSub>
                          <m:sSubPr>
                            <m:ctrlP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𝑅</m:t>
                            </m:r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+</m:t>
                            </m:r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𝑗𝑋</m:t>
                            </m:r>
                          </m:e>
                          <m:sub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𝐿</m:t>
                            </m:r>
                          </m:sub>
                        </m:sSub>
                      </m:den>
                    </m:f>
                    <m:r>
                      <a:rPr lang="en-US" sz="1100" b="0" i="1">
                        <a:latin typeface="Cambria Math"/>
                        <a:ea typeface="Cambria Math"/>
                      </a:rPr>
                      <m:t>×</m:t>
                    </m:r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/>
                            <a:ea typeface="Cambria Math"/>
                          </a:rPr>
                          <m:t>𝐼</m:t>
                        </m:r>
                      </m:e>
                      <m:sub>
                        <m:r>
                          <a:rPr lang="en-US" sz="1100" b="0" i="1">
                            <a:latin typeface="Cambria Math"/>
                            <a:ea typeface="Cambria Math"/>
                          </a:rPr>
                          <m:t>𝑛</m:t>
                        </m:r>
                      </m:sub>
                    </m:sSub>
                  </m:oMath>
                </m:oMathPara>
              </a14:m>
              <a:endParaRPr lang="en-US" sz="1100" b="0"/>
            </a:p>
          </xdr:txBody>
        </xdr:sp>
      </mc:Choice>
      <mc:Fallback xmlns="">
        <xdr:sp macro="" textlink="">
          <xdr:nvSpPr>
            <xdr:cNvPr id="19" name="TextBox 18"/>
            <xdr:cNvSpPr txBox="1"/>
          </xdr:nvSpPr>
          <xdr:spPr>
            <a:xfrm>
              <a:off x="6705600" y="12915900"/>
              <a:ext cx="2209800" cy="45461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en-US" sz="1100" b="0" i="0">
                  <a:latin typeface="Cambria Math"/>
                </a:rPr>
                <a:t>𝐼_(𝑅𝐸𝐴𝐶𝑇𝑂𝑅 (𝑛))</a:t>
              </a:r>
              <a:r>
                <a:rPr lang="en-US" sz="1100" b="0" i="0">
                  <a:latin typeface="Cambria Math"/>
                  <a:ea typeface="Cambria Math"/>
                </a:rPr>
                <a:t>=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Cambria Math"/>
                  <a:cs typeface="+mn-cs"/>
                </a:rPr>
                <a:t>/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〖𝑅+𝑗𝑋〗_𝐿 </a:t>
              </a:r>
              <a:r>
                <a:rPr lang="en-US" sz="1100" b="0" i="0">
                  <a:latin typeface="Cambria Math"/>
                  <a:ea typeface="Cambria Math"/>
                </a:rPr>
                <a:t>×𝐼_𝑛</a:t>
              </a:r>
              <a:endParaRPr lang="en-US" sz="1100" b="0"/>
            </a:p>
          </xdr:txBody>
        </xdr:sp>
      </mc:Fallback>
    </mc:AlternateContent>
    <xdr:clientData/>
  </xdr:oneCellAnchor>
  <xdr:oneCellAnchor>
    <xdr:from>
      <xdr:col>10</xdr:col>
      <xdr:colOff>85725</xdr:colOff>
      <xdr:row>16</xdr:row>
      <xdr:rowOff>129268</xdr:rowOff>
    </xdr:from>
    <xdr:ext cx="2238375" cy="51288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TextBox 19">
              <a:extLst>
                <a:ext uri="{FF2B5EF4-FFF2-40B4-BE49-F238E27FC236}">
                  <a16:creationId xmlns:a16="http://schemas.microsoft.com/office/drawing/2014/main" id="{00000000-0008-0000-0100-000014000000}"/>
                </a:ext>
              </a:extLst>
            </xdr:cNvPr>
            <xdr:cNvSpPr txBox="1"/>
          </xdr:nvSpPr>
          <xdr:spPr>
            <a:xfrm>
              <a:off x="8181975" y="4167868"/>
              <a:ext cx="2238375" cy="5128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14:m>
                <m:oMath xmlns:m="http://schemas.openxmlformats.org/officeDocument/2006/math">
                  <m:sSub>
                    <m:sSubPr>
                      <m:ctrlPr>
                        <a:rPr lang="en-US" sz="1200" b="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n-US" sz="1200" b="0" i="1">
                          <a:latin typeface="Cambria Math"/>
                        </a:rPr>
                        <m:t>𝑅</m:t>
                      </m:r>
                    </m:e>
                    <m:sub>
                      <m:r>
                        <a:rPr lang="en-US" sz="1200" b="0" i="1">
                          <a:latin typeface="Cambria Math"/>
                        </a:rPr>
                        <m:t>𝑊</m:t>
                      </m:r>
                    </m:sub>
                  </m:sSub>
                  <m:r>
                    <a:rPr lang="en-US" sz="1200" b="0" i="1">
                      <a:latin typeface="Cambria Math"/>
                      <a:ea typeface="Cambria Math"/>
                    </a:rPr>
                    <m:t>=</m:t>
                  </m:r>
                  <m:f>
                    <m:fPr>
                      <m:ctrlPr>
                        <a:rPr lang="en-US" sz="1200" b="0" i="1">
                          <a:latin typeface="Cambria Math" panose="02040503050406030204" pitchFamily="18" charset="0"/>
                          <a:ea typeface="Cambria Math"/>
                        </a:rPr>
                      </m:ctrlPr>
                    </m:fPr>
                    <m:num>
                      <m:rad>
                        <m:radPr>
                          <m:degHide m:val="on"/>
                          <m:ctrlPr>
                            <a:rPr lang="en-US" sz="1200" b="0" i="1">
                              <a:latin typeface="Cambria Math" panose="02040503050406030204" pitchFamily="18" charset="0"/>
                              <a:ea typeface="Cambria Math"/>
                            </a:rPr>
                          </m:ctrlPr>
                        </m:radPr>
                        <m:deg/>
                        <m:e>
                          <m:nary>
                            <m:naryPr>
                              <m:chr m:val="∑"/>
                              <m:ctrlPr>
                                <a:rPr lang="en-US" sz="1200" b="0" i="1">
                                  <a:latin typeface="Cambria Math" panose="02040503050406030204" pitchFamily="18" charset="0"/>
                                  <a:ea typeface="Cambria Math"/>
                                </a:rPr>
                              </m:ctrlPr>
                            </m:naryPr>
                            <m:sub>
                              <m:r>
                                <m:rPr>
                                  <m:brk m:alnAt="23"/>
                                </m:rPr>
                                <a:rPr lang="en-US" sz="1200" b="0" i="1">
                                  <a:latin typeface="Cambria Math"/>
                                  <a:ea typeface="Cambria Math"/>
                                </a:rPr>
                                <m:t>𝑛</m:t>
                              </m:r>
                              <m:r>
                                <a:rPr lang="en-US" sz="1200" b="0" i="1">
                                  <a:latin typeface="Cambria Math"/>
                                  <a:ea typeface="Cambria Math"/>
                                </a:rPr>
                                <m:t>=1</m:t>
                              </m:r>
                            </m:sub>
                            <m:sup>
                              <m:r>
                                <a:rPr lang="en-US" sz="1200" b="0" i="1">
                                  <a:latin typeface="Cambria Math"/>
                                  <a:ea typeface="Cambria Math"/>
                                </a:rPr>
                                <m:t>𝑛</m:t>
                              </m:r>
                            </m:sup>
                            <m:e>
                              <m:sSubSup>
                                <m:sSubSupPr>
                                  <m:ctrlPr>
                                    <a:rPr lang="en-US" sz="1200" b="0" i="1">
                                      <a:latin typeface="Cambria Math" panose="02040503050406030204" pitchFamily="18" charset="0"/>
                                      <a:ea typeface="Cambria Math"/>
                                    </a:rPr>
                                  </m:ctrlPr>
                                </m:sSubSupPr>
                                <m:e>
                                  <m:sSubSup>
                                    <m:sSubSupPr>
                                      <m:ctrlPr>
                                        <a:rPr lang="en-US" sz="1200" b="0" i="1">
                                          <a:latin typeface="Cambria Math" panose="02040503050406030204" pitchFamily="18" charset="0"/>
                                          <a:ea typeface="Cambria Math"/>
                                        </a:rPr>
                                      </m:ctrlPr>
                                    </m:sSubSupPr>
                                    <m:e>
                                      <m:r>
                                        <a:rPr lang="en-US" sz="1200" b="0" i="1">
                                          <a:latin typeface="Cambria Math"/>
                                          <a:ea typeface="Cambria Math"/>
                                        </a:rPr>
                                        <m:t>𝐼</m:t>
                                      </m:r>
                                    </m:e>
                                    <m:sub>
                                      <m:r>
                                        <a:rPr lang="en-US" sz="1200" b="0" i="1">
                                          <a:latin typeface="Cambria Math"/>
                                          <a:ea typeface="Cambria Math"/>
                                        </a:rPr>
                                        <m:t>𝑛</m:t>
                                      </m:r>
                                    </m:sub>
                                    <m:sup/>
                                  </m:sSubSup>
                                </m:e>
                                <m:sub/>
                                <m:sup>
                                  <m:r>
                                    <a:rPr lang="en-US" sz="1200" b="0" i="1">
                                      <a:latin typeface="Cambria Math"/>
                                      <a:ea typeface="Cambria Math"/>
                                    </a:rPr>
                                    <m:t>2</m:t>
                                  </m:r>
                                </m:sup>
                              </m:sSubSup>
                              <m:r>
                                <a:rPr lang="en-US" sz="1200" b="0" i="1">
                                  <a:latin typeface="Cambria Math"/>
                                  <a:ea typeface="Cambria Math"/>
                                </a:rPr>
                                <m:t>×</m:t>
                              </m:r>
                              <m:r>
                                <a:rPr lang="en-US" sz="1200" b="0" i="1">
                                  <a:latin typeface="Cambria Math"/>
                                  <a:ea typeface="Cambria Math"/>
                                </a:rPr>
                                <m:t>𝑅</m:t>
                              </m:r>
                            </m:e>
                          </m:nary>
                        </m:e>
                      </m:rad>
                    </m:num>
                    <m:den>
                      <m:r>
                        <a:rPr lang="en-US" sz="1200" b="0" i="1">
                          <a:latin typeface="Cambria Math"/>
                          <a:ea typeface="Cambria Math"/>
                        </a:rPr>
                        <m:t>1000</m:t>
                      </m:r>
                    </m:den>
                  </m:f>
                </m:oMath>
              </a14:m>
              <a:r>
                <a:rPr lang="en-US" sz="1200" b="0"/>
                <a:t> (kW/Phase)</a:t>
              </a:r>
            </a:p>
          </xdr:txBody>
        </xdr:sp>
      </mc:Choice>
      <mc:Fallback xmlns="">
        <xdr:sp macro="" textlink="">
          <xdr:nvSpPr>
            <xdr:cNvPr id="20" name="TextBox 19"/>
            <xdr:cNvSpPr txBox="1"/>
          </xdr:nvSpPr>
          <xdr:spPr>
            <a:xfrm>
              <a:off x="8181975" y="4167868"/>
              <a:ext cx="2238375" cy="5128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:r>
                <a:rPr lang="en-US" sz="1200" b="0" i="0">
                  <a:latin typeface="Cambria Math"/>
                </a:rPr>
                <a:t>𝑅_𝑊</a:t>
              </a:r>
              <a:r>
                <a:rPr lang="en-US" sz="1200" b="0" i="0">
                  <a:latin typeface="Cambria Math"/>
                  <a:ea typeface="Cambria Math"/>
                </a:rPr>
                <a:t>=√(∑_(𝑛=1)^𝑛▒〖〖𝐼_𝑛^ 〗_^2×𝑅〗)/1000</a:t>
              </a:r>
              <a:r>
                <a:rPr lang="en-US" sz="1200" b="0"/>
                <a:t> (kW/Phase)</a:t>
              </a:r>
            </a:p>
          </xdr:txBody>
        </xdr:sp>
      </mc:Fallback>
    </mc:AlternateContent>
    <xdr:clientData/>
  </xdr:oneCellAnchor>
  <xdr:twoCellAnchor editAs="oneCell">
    <xdr:from>
      <xdr:col>9</xdr:col>
      <xdr:colOff>594444</xdr:colOff>
      <xdr:row>0</xdr:row>
      <xdr:rowOff>59981</xdr:rowOff>
    </xdr:from>
    <xdr:to>
      <xdr:col>11</xdr:col>
      <xdr:colOff>1460469</xdr:colOff>
      <xdr:row>2</xdr:row>
      <xdr:rowOff>447675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4219" y="59981"/>
          <a:ext cx="2532900" cy="940144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11</xdr:row>
      <xdr:rowOff>142875</xdr:rowOff>
    </xdr:from>
    <xdr:ext cx="2428875" cy="38568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TextBox 21">
              <a:extLst>
                <a:ext uri="{FF2B5EF4-FFF2-40B4-BE49-F238E27FC236}">
                  <a16:creationId xmlns:a16="http://schemas.microsoft.com/office/drawing/2014/main" id="{00000000-0008-0000-0100-000016000000}"/>
                </a:ext>
              </a:extLst>
            </xdr:cNvPr>
            <xdr:cNvSpPr txBox="1"/>
          </xdr:nvSpPr>
          <xdr:spPr>
            <a:xfrm>
              <a:off x="4724400" y="2990850"/>
              <a:ext cx="2428875" cy="38568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US" sz="1000" b="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n-US" sz="1000" b="0" i="1">
                          <a:latin typeface="Cambria Math"/>
                        </a:rPr>
                        <m:t>𝑋</m:t>
                      </m:r>
                    </m:e>
                    <m:sub>
                      <m:r>
                        <a:rPr lang="en-US" sz="1000" b="0" i="1">
                          <a:latin typeface="Cambria Math"/>
                        </a:rPr>
                        <m:t>𝑒𝑓𝑓</m:t>
                      </m:r>
                    </m:sub>
                  </m:sSub>
                  <m:r>
                    <a:rPr lang="en-US" sz="1000" b="0" i="1">
                      <a:latin typeface="Cambria Math"/>
                      <a:ea typeface="Cambria Math"/>
                    </a:rPr>
                    <m:t>= </m:t>
                  </m:r>
                  <m:f>
                    <m:fPr>
                      <m:ctrlPr>
                        <a:rPr lang="en-US" sz="1000" b="0" i="1">
                          <a:latin typeface="Cambria Math" panose="02040503050406030204" pitchFamily="18" charset="0"/>
                          <a:ea typeface="Cambria Math"/>
                        </a:rPr>
                      </m:ctrlPr>
                    </m:fPr>
                    <m:num>
                      <m:sSup>
                        <m:sSupPr>
                          <m:ctrlPr>
                            <a:rPr lang="en-US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sSub>
                            <m:sSubPr>
                              <m:ctrlPr>
                                <a:rPr lang="en-US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n-US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𝑘𝑉</m:t>
                              </m:r>
                            </m:e>
                            <m:sub>
                              <m:r>
                                <a:rPr lang="en-US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𝐿𝐿𝑆𝑌𝑆</m:t>
                              </m:r>
                            </m:sub>
                          </m:sSub>
                        </m:e>
                        <m:sup>
                          <m:r>
                            <a:rPr lang="en-US" sz="11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</m:t>
                          </m:r>
                        </m:sup>
                      </m:sSup>
                    </m:num>
                    <m:den>
                      <m:sSub>
                        <m:sSubPr>
                          <m:ctrlPr>
                            <a:rPr lang="en-US" sz="10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n-US" sz="10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𝑄</m:t>
                          </m:r>
                        </m:e>
                        <m:sub>
                          <m:r>
                            <a:rPr lang="en-US" sz="10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𝑒𝑓𝑓</m:t>
                          </m:r>
                        </m:sub>
                      </m:sSub>
                      <m:r>
                        <a:rPr lang="en-US" sz="1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</m:t>
                      </m:r>
                      <m:r>
                        <a:rPr lang="en-US" sz="1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𝑀𝑉𝐴𝑅</m:t>
                      </m:r>
                      <m:r>
                        <a:rPr lang="en-US" sz="1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</m:t>
                      </m:r>
                    </m:den>
                  </m:f>
                  <m:r>
                    <a:rPr lang="en-US" sz="1000" b="0" i="1">
                      <a:latin typeface="Cambria Math"/>
                      <a:ea typeface="Cambria Math"/>
                    </a:rPr>
                    <m:t>×1000</m:t>
                  </m:r>
                </m:oMath>
              </a14:m>
              <a:r>
                <a:rPr lang="en-US" sz="1000" b="0"/>
                <a:t>(ohms)</a:t>
              </a:r>
            </a:p>
          </xdr:txBody>
        </xdr:sp>
      </mc:Choice>
      <mc:Fallback xmlns="">
        <xdr:sp macro="" textlink="">
          <xdr:nvSpPr>
            <xdr:cNvPr id="22" name="TextBox 21"/>
            <xdr:cNvSpPr txBox="1"/>
          </xdr:nvSpPr>
          <xdr:spPr>
            <a:xfrm>
              <a:off x="4724400" y="2990850"/>
              <a:ext cx="2428875" cy="38568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en-US" sz="1000" b="0" i="0">
                  <a:latin typeface="Cambria Math"/>
                </a:rPr>
                <a:t>𝑋_𝑒𝑓𝑓</a:t>
              </a:r>
              <a:r>
                <a:rPr lang="en-US" sz="1000" b="0" i="0">
                  <a:latin typeface="Cambria Math"/>
                  <a:ea typeface="Cambria Math"/>
                </a:rPr>
                <a:t>= 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 〖〖𝑘𝑉〗_𝐿𝐿𝑆𝑌𝑆〗^2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Cambria Math"/>
                  <a:cs typeface="+mn-cs"/>
                </a:rPr>
                <a:t>/(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𝑄_𝑒𝑓𝑓 (𝑀𝑉𝐴𝑅)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Cambria Math"/>
                  <a:cs typeface="+mn-cs"/>
                </a:rPr>
                <a:t>)</a:t>
              </a:r>
              <a:r>
                <a:rPr lang="en-US" sz="1000" b="0" i="0">
                  <a:latin typeface="Cambria Math"/>
                  <a:ea typeface="Cambria Math"/>
                </a:rPr>
                <a:t>×1000</a:t>
              </a:r>
              <a:r>
                <a:rPr lang="en-US" sz="1000" b="0"/>
                <a:t>(ohms)</a:t>
              </a:r>
            </a:p>
          </xdr:txBody>
        </xdr:sp>
      </mc:Fallback>
    </mc:AlternateContent>
    <xdr:clientData/>
  </xdr:oneCellAnchor>
  <xdr:oneCellAnchor>
    <xdr:from>
      <xdr:col>4</xdr:col>
      <xdr:colOff>933450</xdr:colOff>
      <xdr:row>13</xdr:row>
      <xdr:rowOff>219075</xdr:rowOff>
    </xdr:from>
    <xdr:ext cx="1952625" cy="51288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TextBox 22">
              <a:extLst>
                <a:ext uri="{FF2B5EF4-FFF2-40B4-BE49-F238E27FC236}">
                  <a16:creationId xmlns:a16="http://schemas.microsoft.com/office/drawing/2014/main" id="{00000000-0008-0000-0100-000017000000}"/>
                </a:ext>
              </a:extLst>
            </xdr:cNvPr>
            <xdr:cNvSpPr txBox="1"/>
          </xdr:nvSpPr>
          <xdr:spPr>
            <a:xfrm>
              <a:off x="4829175" y="3524250"/>
              <a:ext cx="1952625" cy="5128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14:m>
                <m:oMath xmlns:m="http://schemas.openxmlformats.org/officeDocument/2006/math">
                  <m:sSub>
                    <m:sSubPr>
                      <m:ctrlPr>
                        <a:rPr lang="en-US" sz="1000" b="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n-US" sz="1000" b="0" i="1">
                          <a:latin typeface="Cambria Math"/>
                        </a:rPr>
                        <m:t>𝐼</m:t>
                      </m:r>
                    </m:e>
                    <m:sub>
                      <m:r>
                        <a:rPr lang="en-US" sz="1000" b="0" i="1">
                          <a:latin typeface="Cambria Math"/>
                        </a:rPr>
                        <m:t>𝐹𝐼𝐿𝑇𝐸𝑅</m:t>
                      </m:r>
                      <m:r>
                        <a:rPr lang="en-US" sz="1000" b="0" i="1">
                          <a:latin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</a:rPr>
                        <m:t>𝑅𝑀𝑆</m:t>
                      </m:r>
                      <m:r>
                        <a:rPr lang="en-US" sz="1000" b="0" i="1">
                          <a:latin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</a:rPr>
                        <m:t>𝐶𝑈𝑅𝑅𝐸𝑁𝑇</m:t>
                      </m:r>
                    </m:sub>
                  </m:sSub>
                  <m:r>
                    <a:rPr lang="en-US" sz="1000" b="0" i="1">
                      <a:latin typeface="Cambria Math"/>
                      <a:ea typeface="Cambria Math"/>
                    </a:rPr>
                    <m:t>=</m:t>
                  </m:r>
                  <m:rad>
                    <m:radPr>
                      <m:degHide m:val="on"/>
                      <m:ctrlPr>
                        <a:rPr lang="en-US" sz="1000" b="0" i="1">
                          <a:latin typeface="Cambria Math" panose="02040503050406030204" pitchFamily="18" charset="0"/>
                          <a:ea typeface="Cambria Math"/>
                        </a:rPr>
                      </m:ctrlPr>
                    </m:radPr>
                    <m:deg/>
                    <m:e>
                      <m:nary>
                        <m:naryPr>
                          <m:chr m:val="∑"/>
                          <m:ctrlPr>
                            <a:rPr lang="en-US" sz="1000" b="0" i="1">
                              <a:latin typeface="Cambria Math" panose="02040503050406030204" pitchFamily="18" charset="0"/>
                              <a:ea typeface="Cambria Math"/>
                            </a:rPr>
                          </m:ctrlPr>
                        </m:naryPr>
                        <m:sub>
                          <m:r>
                            <m:rPr>
                              <m:brk m:alnAt="23"/>
                            </m:rPr>
                            <a:rPr lang="en-US" sz="1000" b="0" i="1">
                              <a:latin typeface="Cambria Math"/>
                              <a:ea typeface="Cambria Math"/>
                            </a:rPr>
                            <m:t>𝑛</m:t>
                          </m:r>
                          <m:r>
                            <a:rPr lang="en-US" sz="1000" b="0" i="1">
                              <a:latin typeface="Cambria Math"/>
                              <a:ea typeface="Cambria Math"/>
                            </a:rPr>
                            <m:t>=1</m:t>
                          </m:r>
                        </m:sub>
                        <m:sup>
                          <m:r>
                            <a:rPr lang="en-US" sz="1000" b="0" i="1">
                              <a:latin typeface="Cambria Math"/>
                              <a:ea typeface="Cambria Math"/>
                            </a:rPr>
                            <m:t>𝑛</m:t>
                          </m:r>
                        </m:sup>
                        <m:e>
                          <m:sSubSup>
                            <m:sSubSupPr>
                              <m:ctrlPr>
                                <a:rPr lang="en-US" sz="1000" b="0" i="1">
                                  <a:latin typeface="Cambria Math" panose="02040503050406030204" pitchFamily="18" charset="0"/>
                                  <a:ea typeface="Cambria Math"/>
                                </a:rPr>
                              </m:ctrlPr>
                            </m:sSubSupPr>
                            <m:e>
                              <m:sSubSup>
                                <m:sSubSupPr>
                                  <m:ctrlPr>
                                    <a:rPr lang="en-US" sz="1000" b="0" i="1">
                                      <a:latin typeface="Cambria Math" panose="02040503050406030204" pitchFamily="18" charset="0"/>
                                      <a:ea typeface="Cambria Math"/>
                                    </a:rPr>
                                  </m:ctrlPr>
                                </m:sSubSupPr>
                                <m:e>
                                  <m:r>
                                    <a:rPr lang="en-US" sz="1000" b="0" i="1">
                                      <a:latin typeface="Cambria Math"/>
                                      <a:ea typeface="Cambria Math"/>
                                    </a:rPr>
                                    <m:t>𝐼</m:t>
                                  </m:r>
                                </m:e>
                                <m:sub>
                                  <m:r>
                                    <a:rPr lang="en-US" sz="1000" b="0" i="1">
                                      <a:latin typeface="Cambria Math"/>
                                      <a:ea typeface="Cambria Math"/>
                                    </a:rPr>
                                    <m:t>𝑛</m:t>
                                  </m:r>
                                </m:sub>
                                <m:sup/>
                              </m:sSubSup>
                            </m:e>
                            <m:sub/>
                            <m:sup>
                              <m:r>
                                <a:rPr lang="en-US" sz="1000" b="0" i="1">
                                  <a:latin typeface="Cambria Math"/>
                                  <a:ea typeface="Cambria Math"/>
                                </a:rPr>
                                <m:t>2</m:t>
                              </m:r>
                            </m:sup>
                          </m:sSubSup>
                        </m:e>
                      </m:nary>
                    </m:e>
                  </m:rad>
                </m:oMath>
              </a14:m>
              <a:r>
                <a:rPr lang="en-US" sz="1000" b="0"/>
                <a:t> </a:t>
              </a:r>
            </a:p>
          </xdr:txBody>
        </xdr:sp>
      </mc:Choice>
      <mc:Fallback xmlns="">
        <xdr:sp macro="" textlink="">
          <xdr:nvSpPr>
            <xdr:cNvPr id="23" name="TextBox 22"/>
            <xdr:cNvSpPr txBox="1"/>
          </xdr:nvSpPr>
          <xdr:spPr>
            <a:xfrm>
              <a:off x="4829175" y="3524250"/>
              <a:ext cx="1952625" cy="5128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:r>
                <a:rPr lang="en-US" sz="1000" b="0" i="0">
                  <a:latin typeface="Cambria Math"/>
                </a:rPr>
                <a:t>𝐼_(𝐹𝐼𝐿𝑇𝐸𝑅 𝑅𝑀𝑆 𝐶𝑈𝑅𝑅𝐸𝑁𝑇)</a:t>
              </a:r>
              <a:r>
                <a:rPr lang="en-US" sz="1000" b="0" i="0">
                  <a:latin typeface="Cambria Math"/>
                  <a:ea typeface="Cambria Math"/>
                </a:rPr>
                <a:t>=√(∑_(𝑛=1)^𝑛▒〖𝐼_𝑛^ 〗_^2 )</a:t>
              </a:r>
              <a:r>
                <a:rPr lang="en-US" sz="1000" b="0"/>
                <a:t> </a:t>
              </a:r>
            </a:p>
          </xdr:txBody>
        </xdr:sp>
      </mc:Fallback>
    </mc:AlternateContent>
    <xdr:clientData/>
  </xdr:oneCellAnchor>
  <xdr:oneCellAnchor>
    <xdr:from>
      <xdr:col>8</xdr:col>
      <xdr:colOff>161925</xdr:colOff>
      <xdr:row>12</xdr:row>
      <xdr:rowOff>152400</xdr:rowOff>
    </xdr:from>
    <xdr:ext cx="3143250" cy="44358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" name="TextBox 23">
              <a:extLst>
                <a:ext uri="{FF2B5EF4-FFF2-40B4-BE49-F238E27FC236}">
                  <a16:creationId xmlns:a16="http://schemas.microsoft.com/office/drawing/2014/main" id="{00000000-0008-0000-0100-000018000000}"/>
                </a:ext>
              </a:extLst>
            </xdr:cNvPr>
            <xdr:cNvSpPr txBox="1"/>
          </xdr:nvSpPr>
          <xdr:spPr>
            <a:xfrm>
              <a:off x="6924675" y="3228975"/>
              <a:ext cx="3143250" cy="44358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0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000" b="0" i="1">
                            <a:latin typeface="Cambria Math"/>
                          </a:rPr>
                          <m:t>𝐼</m:t>
                        </m:r>
                      </m:e>
                      <m:sub>
                        <m:r>
                          <a:rPr lang="en-US" sz="1000" b="0" i="1">
                            <a:latin typeface="Cambria Math"/>
                          </a:rPr>
                          <m:t>𝑅𝐴𝑇𝐸𝐷</m:t>
                        </m:r>
                        <m:r>
                          <a:rPr lang="en-US" sz="1000" b="0" i="1">
                            <a:latin typeface="Cambria Math"/>
                          </a:rPr>
                          <m:t> </m:t>
                        </m:r>
                        <m:r>
                          <a:rPr lang="en-US" sz="1000" b="0" i="1">
                            <a:latin typeface="Cambria Math"/>
                          </a:rPr>
                          <m:t>𝐹𝑈𝑁𝐷𝐴𝑀𝐸𝑁𝑇𝐴𝐿</m:t>
                        </m:r>
                      </m:sub>
                    </m:sSub>
                    <m:r>
                      <a:rPr lang="en-US" sz="1000" b="0" i="1">
                        <a:latin typeface="Cambria Math"/>
                        <a:ea typeface="Cambria Math"/>
                      </a:rPr>
                      <m:t>= </m:t>
                    </m:r>
                    <m:f>
                      <m:fPr>
                        <m:ctrlPr>
                          <a:rPr lang="en-US" sz="1000" b="0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US" sz="10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0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𝑄</m:t>
                            </m:r>
                          </m:e>
                          <m:sub>
                            <m:r>
                              <a:rPr lang="en-US" sz="10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𝑒𝑓𝑓</m:t>
                            </m:r>
                          </m:sub>
                        </m:sSub>
                        <m:r>
                          <a:rPr lang="en-US" sz="10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 (</m:t>
                        </m:r>
                        <m:r>
                          <a:rPr lang="en-US" sz="10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𝑘𝑣𝑎𝑟</m:t>
                        </m:r>
                        <m:r>
                          <a:rPr lang="en-US" sz="10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)</m:t>
                        </m:r>
                      </m:num>
                      <m:den>
                        <m:r>
                          <a:rPr lang="en-US" sz="1000" b="0" i="1">
                            <a:latin typeface="Cambria Math"/>
                            <a:ea typeface="Cambria Math"/>
                          </a:rPr>
                          <m:t>1.73×</m:t>
                        </m:r>
                        <m:sSup>
                          <m:sSupPr>
                            <m:ctrlPr>
                              <a:rPr lang="en-US" sz="1000" b="0" i="1">
                                <a:latin typeface="Cambria Math" panose="02040503050406030204" pitchFamily="18" charset="0"/>
                                <a:ea typeface="Cambria Math"/>
                              </a:rPr>
                            </m:ctrlPr>
                          </m:sSupPr>
                          <m:e>
                            <m:sSub>
                              <m:sSubPr>
                                <m:ctrlPr>
                                  <a:rPr lang="en-US" sz="10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sz="10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𝑘𝑉</m:t>
                                </m:r>
                              </m:e>
                              <m:sub>
                                <m:r>
                                  <a:rPr lang="en-US" sz="10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𝐿𝐿𝑆𝑌𝑆</m:t>
                                </m:r>
                              </m:sub>
                            </m:sSub>
                          </m:e>
                          <m:sup/>
                        </m:sSup>
                      </m:den>
                    </m:f>
                  </m:oMath>
                </m:oMathPara>
              </a14:m>
              <a:endParaRPr lang="en-US" sz="1000" b="0"/>
            </a:p>
          </xdr:txBody>
        </xdr:sp>
      </mc:Choice>
      <mc:Fallback xmlns="">
        <xdr:sp macro="" textlink="">
          <xdr:nvSpPr>
            <xdr:cNvPr id="24" name="TextBox 23">
              <a:extLst>
                <a:ext uri="{FF2B5EF4-FFF2-40B4-BE49-F238E27FC236}">
                  <a16:creationId xmlns:a16="http://schemas.microsoft.com/office/drawing/2014/main" id="{00000000-0008-0000-0100-000018000000}"/>
                </a:ext>
              </a:extLst>
            </xdr:cNvPr>
            <xdr:cNvSpPr txBox="1"/>
          </xdr:nvSpPr>
          <xdr:spPr>
            <a:xfrm>
              <a:off x="6924675" y="3228975"/>
              <a:ext cx="3143250" cy="44358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en-US" sz="1000" b="0" i="0">
                  <a:latin typeface="Cambria Math"/>
                </a:rPr>
                <a:t>𝐼</a:t>
              </a:r>
              <a:r>
                <a:rPr lang="en-US" sz="1000" b="0" i="0">
                  <a:latin typeface="Cambria Math" panose="02040503050406030204" pitchFamily="18" charset="0"/>
                </a:rPr>
                <a:t>_(</a:t>
              </a:r>
              <a:r>
                <a:rPr lang="en-US" sz="1000" b="0" i="0">
                  <a:latin typeface="Cambria Math"/>
                </a:rPr>
                <a:t>𝑅𝐴𝑇𝐸𝐷 𝐹𝑈𝑁𝐷𝐴𝑀𝐸𝑁𝑇𝐴𝐿</a:t>
              </a:r>
              <a:r>
                <a:rPr lang="en-US" sz="1000" b="0" i="0">
                  <a:latin typeface="Cambria Math" panose="02040503050406030204" pitchFamily="18" charset="0"/>
                </a:rPr>
                <a:t>)</a:t>
              </a:r>
              <a:r>
                <a:rPr lang="en-US" sz="1000" b="0" i="0">
                  <a:latin typeface="Cambria Math"/>
                  <a:ea typeface="Cambria Math"/>
                </a:rPr>
                <a:t>= 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/>
                  <a:cs typeface="+mn-cs"/>
                </a:rPr>
                <a:t>(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𝑄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𝑒𝑓𝑓  (𝑘𝑣𝑎𝑟)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/>
                  <a:cs typeface="+mn-cs"/>
                </a:rPr>
                <a:t>)/(</a:t>
              </a:r>
              <a:r>
                <a:rPr lang="en-US" sz="1000" b="0" i="0">
                  <a:latin typeface="Cambria Math"/>
                  <a:ea typeface="Cambria Math"/>
                </a:rPr>
                <a:t>1.73×</a:t>
              </a:r>
              <a:r>
                <a:rPr lang="en-US" sz="1000" b="0" i="0">
                  <a:latin typeface="Cambria Math" panose="02040503050406030204" pitchFamily="18" charset="0"/>
                  <a:ea typeface="Cambria Math"/>
                </a:rPr>
                <a:t>〖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𝑘𝑉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〗_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𝐿𝐿𝑆𝑌𝑆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/>
                  <a:cs typeface="+mn-cs"/>
                </a:rPr>
                <a:t>〗^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/>
                  <a:cs typeface="+mn-cs"/>
                </a:rPr>
                <a:t>)</a:t>
              </a:r>
              <a:endParaRPr lang="en-US" sz="1000" b="0"/>
            </a:p>
          </xdr:txBody>
        </xdr:sp>
      </mc:Fallback>
    </mc:AlternateContent>
    <xdr:clientData/>
  </xdr:oneCellAnchor>
  <xdr:oneCellAnchor>
    <xdr:from>
      <xdr:col>4</xdr:col>
      <xdr:colOff>914399</xdr:colOff>
      <xdr:row>20</xdr:row>
      <xdr:rowOff>85725</xdr:rowOff>
    </xdr:from>
    <xdr:ext cx="1409701" cy="47615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TextBox 25">
              <a:extLst>
                <a:ext uri="{FF2B5EF4-FFF2-40B4-BE49-F238E27FC236}">
                  <a16:creationId xmlns:a16="http://schemas.microsoft.com/office/drawing/2014/main" id="{00000000-0008-0000-0100-00001A000000}"/>
                </a:ext>
              </a:extLst>
            </xdr:cNvPr>
            <xdr:cNvSpPr txBox="1"/>
          </xdr:nvSpPr>
          <xdr:spPr>
            <a:xfrm>
              <a:off x="4810124" y="4895850"/>
              <a:ext cx="1409701" cy="4761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/>
                          </a:rPr>
                          <m:t>𝑋</m:t>
                        </m:r>
                      </m:e>
                      <m:sub>
                        <m:r>
                          <a:rPr lang="en-US" sz="1100" b="0" i="1">
                            <a:latin typeface="Cambria Math"/>
                          </a:rPr>
                          <m:t>𝐶</m:t>
                        </m:r>
                      </m:sub>
                    </m:sSub>
                    <m:r>
                      <a:rPr lang="en-US" sz="1100" i="1">
                        <a:latin typeface="Cambria Math"/>
                        <a:ea typeface="Cambria Math"/>
                      </a:rPr>
                      <m:t>=</m:t>
                    </m:r>
                    <m:d>
                      <m:dPr>
                        <m:ctrlPr>
                          <a:rPr lang="en-US" sz="1100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en-US" sz="1100" i="1">
                                <a:latin typeface="Cambria Math" panose="02040503050406030204" pitchFamily="18" charset="0"/>
                                <a:ea typeface="Cambria Math"/>
                              </a:rPr>
                            </m:ctrlPr>
                          </m:fPr>
                          <m:num>
                            <m:sSup>
                              <m:sSupPr>
                                <m:ctrlPr>
                                  <a:rPr lang="en-US" sz="1100" i="1">
                                    <a:latin typeface="Cambria Math" panose="02040503050406030204" pitchFamily="18" charset="0"/>
                                    <a:ea typeface="Cambria Math"/>
                                  </a:rPr>
                                </m:ctrlPr>
                              </m:sSupPr>
                              <m:e>
                                <m:r>
                                  <a:rPr lang="en-US" sz="1100" b="0" i="1">
                                    <a:latin typeface="Cambria Math"/>
                                    <a:ea typeface="Cambria Math"/>
                                  </a:rPr>
                                  <m:t>h</m:t>
                                </m:r>
                              </m:e>
                              <m:sup>
                                <m:r>
                                  <a:rPr lang="en-US" sz="1100" b="0" i="1">
                                    <a:latin typeface="Cambria Math"/>
                                    <a:ea typeface="Cambria Math"/>
                                  </a:rPr>
                                  <m:t>2</m:t>
                                </m:r>
                              </m:sup>
                            </m:sSup>
                          </m:num>
                          <m:den>
                            <m:sSup>
                              <m:sSupPr>
                                <m:ctrlPr>
                                  <a:rPr lang="en-US" sz="1100" i="1">
                                    <a:latin typeface="Cambria Math" panose="02040503050406030204" pitchFamily="18" charset="0"/>
                                    <a:ea typeface="Cambria Math"/>
                                  </a:rPr>
                                </m:ctrlPr>
                              </m:sSupPr>
                              <m:e>
                                <m:r>
                                  <a:rPr lang="en-US" sz="1100" b="0" i="1">
                                    <a:latin typeface="Cambria Math"/>
                                    <a:ea typeface="Cambria Math"/>
                                  </a:rPr>
                                  <m:t>h</m:t>
                                </m:r>
                              </m:e>
                              <m:sup>
                                <m:r>
                                  <a:rPr lang="en-US" sz="1100" b="0" i="1">
                                    <a:latin typeface="Cambria Math"/>
                                    <a:ea typeface="Cambria Math"/>
                                  </a:rPr>
                                  <m:t>2</m:t>
                                </m:r>
                              </m:sup>
                            </m:sSup>
                            <m:r>
                              <a:rPr lang="en-US" sz="1100" b="0" i="1">
                                <a:latin typeface="Cambria Math"/>
                                <a:ea typeface="Cambria Math"/>
                              </a:rPr>
                              <m:t>−1</m:t>
                            </m:r>
                          </m:den>
                        </m:f>
                      </m:e>
                    </m:d>
                    <m:sSub>
                      <m:sSubPr>
                        <m:ctrlPr>
                          <a:rPr lang="en-US" sz="1100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/>
                            <a:ea typeface="Cambria Math"/>
                          </a:rPr>
                          <m:t>𝑋</m:t>
                        </m:r>
                      </m:e>
                      <m:sub>
                        <m:r>
                          <a:rPr lang="en-US" sz="1100" b="0" i="1">
                            <a:latin typeface="Cambria Math"/>
                            <a:ea typeface="Cambria Math"/>
                          </a:rPr>
                          <m:t>𝑒𝑓𝑓</m:t>
                        </m:r>
                      </m:sub>
                    </m:sSub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26" name="TextBox 25"/>
            <xdr:cNvSpPr txBox="1"/>
          </xdr:nvSpPr>
          <xdr:spPr>
            <a:xfrm>
              <a:off x="4810124" y="4895850"/>
              <a:ext cx="1409701" cy="4761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en-US" sz="1100" b="0" i="0">
                  <a:latin typeface="Cambria Math"/>
                </a:rPr>
                <a:t>𝑋_𝐶</a:t>
              </a:r>
              <a:r>
                <a:rPr lang="en-US" sz="1100" i="0">
                  <a:latin typeface="Cambria Math"/>
                  <a:ea typeface="Cambria Math"/>
                </a:rPr>
                <a:t>=(</a:t>
              </a:r>
              <a:r>
                <a:rPr lang="en-US" sz="1100" b="0" i="0">
                  <a:latin typeface="Cambria Math"/>
                  <a:ea typeface="Cambria Math"/>
                </a:rPr>
                <a:t>ℎ^2/(ℎ^2−1)) 𝑋_𝑒𝑓𝑓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8</xdr:col>
      <xdr:colOff>304800</xdr:colOff>
      <xdr:row>17</xdr:row>
      <xdr:rowOff>31732</xdr:rowOff>
    </xdr:from>
    <xdr:ext cx="1000125" cy="41992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TextBox 26">
              <a:extLst>
                <a:ext uri="{FF2B5EF4-FFF2-40B4-BE49-F238E27FC236}">
                  <a16:creationId xmlns:a16="http://schemas.microsoft.com/office/drawing/2014/main" id="{00000000-0008-0000-0100-00001B000000}"/>
                </a:ext>
              </a:extLst>
            </xdr:cNvPr>
            <xdr:cNvSpPr txBox="1"/>
          </xdr:nvSpPr>
          <xdr:spPr>
            <a:xfrm>
              <a:off x="7067550" y="4260832"/>
              <a:ext cx="1000125" cy="4199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r>
                      <a:rPr lang="en-US" sz="1000" b="0" i="1">
                        <a:latin typeface="Cambria Math"/>
                        <a:ea typeface="Cambria Math"/>
                      </a:rPr>
                      <m:t>𝐷𝐹</m:t>
                    </m:r>
                    <m:r>
                      <a:rPr lang="en-US" sz="1000" b="0" i="1">
                        <a:latin typeface="Cambria Math"/>
                        <a:ea typeface="Cambria Math"/>
                      </a:rPr>
                      <m:t>= </m:t>
                    </m:r>
                    <m:f>
                      <m:fPr>
                        <m:ctrlPr>
                          <a:rPr lang="en-US" sz="1000" b="0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fPr>
                      <m:num>
                        <m:r>
                          <a:rPr lang="en-US" sz="1000" b="0" i="1">
                            <a:latin typeface="Cambria Math"/>
                            <a:ea typeface="Cambria Math"/>
                          </a:rPr>
                          <m:t>𝑅</m:t>
                        </m:r>
                      </m:num>
                      <m:den>
                        <m:r>
                          <a:rPr lang="en-US" sz="10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h</m:t>
                        </m:r>
                        <m:r>
                          <a:rPr lang="en-US" sz="1000" b="0" i="1">
                            <a:latin typeface="Cambria Math"/>
                            <a:ea typeface="Cambria Math"/>
                          </a:rPr>
                          <m:t>×</m:t>
                        </m:r>
                        <m:sSub>
                          <m:sSubPr>
                            <m:ctrlPr>
                              <a:rPr lang="en-US" sz="1000" b="0" i="1">
                                <a:latin typeface="Cambria Math" panose="02040503050406030204" pitchFamily="18" charset="0"/>
                                <a:ea typeface="Cambria Math"/>
                              </a:rPr>
                            </m:ctrlPr>
                          </m:sSubPr>
                          <m:e>
                            <m:r>
                              <a:rPr lang="en-US" sz="1000" b="0" i="1">
                                <a:latin typeface="Cambria Math"/>
                                <a:ea typeface="Cambria Math"/>
                              </a:rPr>
                              <m:t>𝑋</m:t>
                            </m:r>
                          </m:e>
                          <m:sub>
                            <m:r>
                              <a:rPr lang="en-US" sz="1000" b="0" i="1">
                                <a:latin typeface="Cambria Math"/>
                                <a:ea typeface="Cambria Math"/>
                              </a:rPr>
                              <m:t>𝐿</m:t>
                            </m:r>
                          </m:sub>
                        </m:sSub>
                      </m:den>
                    </m:f>
                  </m:oMath>
                </m:oMathPara>
              </a14:m>
              <a:endParaRPr lang="en-US" sz="1000" b="0"/>
            </a:p>
          </xdr:txBody>
        </xdr:sp>
      </mc:Choice>
      <mc:Fallback xmlns="">
        <xdr:sp macro="" textlink="">
          <xdr:nvSpPr>
            <xdr:cNvPr id="27" name="TextBox 26"/>
            <xdr:cNvSpPr txBox="1"/>
          </xdr:nvSpPr>
          <xdr:spPr>
            <a:xfrm>
              <a:off x="7067550" y="4260832"/>
              <a:ext cx="1000125" cy="4199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en-US" sz="1000" b="0" i="0">
                  <a:latin typeface="Cambria Math"/>
                  <a:ea typeface="Cambria Math"/>
                </a:rPr>
                <a:t>𝐷𝐹=  𝑅/(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ℎ</a:t>
              </a:r>
              <a:r>
                <a:rPr lang="en-US" sz="1000" b="0" i="0">
                  <a:latin typeface="Cambria Math"/>
                  <a:ea typeface="Cambria Math"/>
                </a:rPr>
                <a:t>×𝑋_𝐿 )</a:t>
              </a:r>
              <a:endParaRPr lang="en-US" sz="1000" b="0"/>
            </a:p>
          </xdr:txBody>
        </xdr:sp>
      </mc:Fallback>
    </mc:AlternateContent>
    <xdr:clientData/>
  </xdr:oneCellAnchor>
  <xdr:oneCellAnchor>
    <xdr:from>
      <xdr:col>4</xdr:col>
      <xdr:colOff>914400</xdr:colOff>
      <xdr:row>23</xdr:row>
      <xdr:rowOff>47625</xdr:rowOff>
    </xdr:from>
    <xdr:ext cx="695325" cy="41953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TextBox 27">
              <a:extLst>
                <a:ext uri="{FF2B5EF4-FFF2-40B4-BE49-F238E27FC236}">
                  <a16:creationId xmlns:a16="http://schemas.microsoft.com/office/drawing/2014/main" id="{00000000-0008-0000-0100-00001C000000}"/>
                </a:ext>
              </a:extLst>
            </xdr:cNvPr>
            <xdr:cNvSpPr txBox="1"/>
          </xdr:nvSpPr>
          <xdr:spPr>
            <a:xfrm>
              <a:off x="4810125" y="5476875"/>
              <a:ext cx="695325" cy="41953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/>
                          </a:rPr>
                          <m:t>𝑋</m:t>
                        </m:r>
                      </m:e>
                      <m:sub>
                        <m:r>
                          <a:rPr lang="en-US" sz="1100" b="0" i="1">
                            <a:latin typeface="Cambria Math"/>
                          </a:rPr>
                          <m:t>𝐿</m:t>
                        </m:r>
                      </m:sub>
                    </m:sSub>
                    <m:r>
                      <a:rPr lang="en-US" sz="1100" i="1">
                        <a:latin typeface="Cambria Math"/>
                        <a:ea typeface="Cambria Math"/>
                      </a:rPr>
                      <m:t>=</m:t>
                    </m:r>
                    <m:f>
                      <m:fPr>
                        <m:ctrlPr>
                          <a:rPr lang="en-US" sz="1100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US" sz="1100" i="1">
                                <a:latin typeface="Cambria Math" panose="02040503050406030204" pitchFamily="18" charset="0"/>
                                <a:ea typeface="Cambria Math"/>
                              </a:rPr>
                            </m:ctrlPr>
                          </m:sSubPr>
                          <m:e>
                            <m:r>
                              <a:rPr lang="en-US" sz="1100" b="0" i="1">
                                <a:latin typeface="Cambria Math"/>
                                <a:ea typeface="Cambria Math"/>
                              </a:rPr>
                              <m:t>𝑋</m:t>
                            </m:r>
                          </m:e>
                          <m:sub>
                            <m:r>
                              <a:rPr lang="en-US" sz="1100" b="0" i="1">
                                <a:latin typeface="Cambria Math"/>
                                <a:ea typeface="Cambria Math"/>
                              </a:rPr>
                              <m:t>𝐶</m:t>
                            </m:r>
                          </m:sub>
                        </m:sSub>
                      </m:num>
                      <m:den>
                        <m:sSup>
                          <m:sSupPr>
                            <m:ctrlPr>
                              <a:rPr lang="en-US" sz="1100" i="1">
                                <a:latin typeface="Cambria Math" panose="02040503050406030204" pitchFamily="18" charset="0"/>
                                <a:ea typeface="Cambria Math"/>
                              </a:rPr>
                            </m:ctrlPr>
                          </m:sSupPr>
                          <m:e>
                            <m:r>
                              <a:rPr lang="en-US" sz="1100" b="0" i="1">
                                <a:latin typeface="Cambria Math"/>
                                <a:ea typeface="Cambria Math"/>
                              </a:rPr>
                              <m:t>h</m:t>
                            </m:r>
                          </m:e>
                          <m:sup>
                            <m:r>
                              <a:rPr lang="en-US" sz="1100" b="0" i="1">
                                <a:latin typeface="Cambria Math"/>
                                <a:ea typeface="Cambria Math"/>
                              </a:rPr>
                              <m:t>2</m:t>
                            </m:r>
                          </m:sup>
                        </m:sSup>
                      </m:den>
                    </m:f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28" name="TextBox 27"/>
            <xdr:cNvSpPr txBox="1"/>
          </xdr:nvSpPr>
          <xdr:spPr>
            <a:xfrm>
              <a:off x="4810125" y="5476875"/>
              <a:ext cx="695325" cy="41953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en-US" sz="1100" b="0" i="0">
                  <a:latin typeface="Cambria Math"/>
                </a:rPr>
                <a:t>𝑋_𝐿</a:t>
              </a:r>
              <a:r>
                <a:rPr lang="en-US" sz="1100" i="0">
                  <a:latin typeface="Cambria Math"/>
                  <a:ea typeface="Cambria Math"/>
                </a:rPr>
                <a:t>=</a:t>
              </a:r>
              <a:r>
                <a:rPr lang="en-US" sz="1100" b="0" i="0">
                  <a:latin typeface="Cambria Math"/>
                  <a:ea typeface="Cambria Math"/>
                </a:rPr>
                <a:t>𝑋_𝐶/ℎ^2 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4</xdr:col>
      <xdr:colOff>933450</xdr:colOff>
      <xdr:row>33</xdr:row>
      <xdr:rowOff>85725</xdr:rowOff>
    </xdr:from>
    <xdr:ext cx="1371600" cy="264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9" name="TextBox 28">
              <a:extLst>
                <a:ext uri="{FF2B5EF4-FFF2-40B4-BE49-F238E27FC236}">
                  <a16:creationId xmlns:a16="http://schemas.microsoft.com/office/drawing/2014/main" id="{00000000-0008-0000-0100-00001D000000}"/>
                </a:ext>
              </a:extLst>
            </xdr:cNvPr>
            <xdr:cNvSpPr txBox="1"/>
          </xdr:nvSpPr>
          <xdr:spPr>
            <a:xfrm>
              <a:off x="4829175" y="8543925"/>
              <a:ext cx="1371600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/>
                          </a:rPr>
                          <m:t>𝐼</m:t>
                        </m:r>
                      </m:e>
                      <m:sub>
                        <m:r>
                          <a:rPr lang="en-US" sz="1100" b="0" i="1">
                            <a:latin typeface="Cambria Math"/>
                          </a:rPr>
                          <m:t>𝐹𝑈𝑆𝐸</m:t>
                        </m:r>
                      </m:sub>
                    </m:sSub>
                    <m:r>
                      <a:rPr lang="en-US" sz="1100" i="1">
                        <a:latin typeface="Cambria Math"/>
                        <a:ea typeface="Cambria Math"/>
                      </a:rPr>
                      <m:t>≥</m:t>
                    </m:r>
                    <m:r>
                      <a:rPr lang="en-US" sz="1100" b="0" i="1">
                        <a:latin typeface="Cambria Math"/>
                        <a:ea typeface="Cambria Math"/>
                      </a:rPr>
                      <m:t> </m:t>
                    </m:r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/>
                            <a:ea typeface="Cambria Math"/>
                          </a:rPr>
                          <m:t>𝐼</m:t>
                        </m:r>
                      </m:e>
                      <m:sub>
                        <m:r>
                          <a:rPr lang="en-US" sz="1100" b="0" i="1">
                            <a:latin typeface="Cambria Math"/>
                            <a:ea typeface="Cambria Math"/>
                          </a:rPr>
                          <m:t>𝐶𝐴𝑃</m:t>
                        </m:r>
                      </m:sub>
                    </m:sSub>
                    <m:r>
                      <a:rPr lang="en-US" sz="1100" b="0" i="1">
                        <a:latin typeface="Cambria Math"/>
                        <a:ea typeface="Cambria Math"/>
                      </a:rPr>
                      <m:t>×1.8</m:t>
                    </m: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29" name="TextBox 28"/>
            <xdr:cNvSpPr txBox="1"/>
          </xdr:nvSpPr>
          <xdr:spPr>
            <a:xfrm>
              <a:off x="4829175" y="8543925"/>
              <a:ext cx="1371600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en-US" sz="1100" b="0" i="0">
                  <a:latin typeface="Cambria Math"/>
                </a:rPr>
                <a:t>𝐼_𝐹𝑈𝑆𝐸</a:t>
              </a:r>
              <a:r>
                <a:rPr lang="en-US" sz="1100" i="0">
                  <a:latin typeface="Cambria Math"/>
                  <a:ea typeface="Cambria Math"/>
                </a:rPr>
                <a:t>≥</a:t>
              </a:r>
              <a:r>
                <a:rPr lang="en-US" sz="1100" b="0" i="0">
                  <a:latin typeface="Cambria Math"/>
                  <a:ea typeface="Cambria Math"/>
                </a:rPr>
                <a:t> 𝐼_𝐶𝐴𝑃×1.8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4</xdr:col>
      <xdr:colOff>914400</xdr:colOff>
      <xdr:row>35</xdr:row>
      <xdr:rowOff>3671</xdr:rowOff>
    </xdr:from>
    <xdr:ext cx="4419600" cy="43447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1" name="TextBox 30">
              <a:extLst>
                <a:ext uri="{FF2B5EF4-FFF2-40B4-BE49-F238E27FC236}">
                  <a16:creationId xmlns:a16="http://schemas.microsoft.com/office/drawing/2014/main" id="{00000000-0008-0000-0100-00001F000000}"/>
                </a:ext>
              </a:extLst>
            </xdr:cNvPr>
            <xdr:cNvSpPr txBox="1"/>
          </xdr:nvSpPr>
          <xdr:spPr>
            <a:xfrm>
              <a:off x="4810125" y="9214346"/>
              <a:ext cx="4419600" cy="43447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14:m>
                <m:oMath xmlns:m="http://schemas.openxmlformats.org/officeDocument/2006/math">
                  <m:sSub>
                    <m:sSubPr>
                      <m:ctrlPr>
                        <a:rPr lang="en-US" sz="1000" b="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n-US" sz="1000" b="0" i="1">
                          <a:latin typeface="Cambria Math"/>
                        </a:rPr>
                        <m:t>𝑉</m:t>
                      </m:r>
                    </m:e>
                    <m:sub>
                      <m:r>
                        <a:rPr lang="en-US" sz="1000" b="0" i="1">
                          <a:latin typeface="Cambria Math"/>
                        </a:rPr>
                        <m:t>𝐶𝐴𝑃</m:t>
                      </m:r>
                      <m:r>
                        <a:rPr lang="en-US" sz="1000" b="0" i="1">
                          <a:latin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</a:rPr>
                        <m:t>𝑅𝑀𝑆</m:t>
                      </m:r>
                      <m:r>
                        <a:rPr lang="en-US" sz="1000" b="0" i="1">
                          <a:latin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</a:rPr>
                        <m:t>𝑉𝑂𝐿𝑇𝐴𝐺𝐸</m:t>
                      </m:r>
                    </m:sub>
                  </m:sSub>
                  <m:r>
                    <a:rPr lang="en-US" sz="1000" b="0" i="1">
                      <a:latin typeface="Cambria Math"/>
                      <a:ea typeface="Cambria Math"/>
                    </a:rPr>
                    <m:t>=</m:t>
                  </m:r>
                  <m:rad>
                    <m:radPr>
                      <m:degHide m:val="on"/>
                      <m:ctrlPr>
                        <a:rPr lang="en-US" sz="1000" b="0" i="1">
                          <a:latin typeface="Cambria Math" panose="02040503050406030204" pitchFamily="18" charset="0"/>
                          <a:ea typeface="Cambria Math"/>
                        </a:rPr>
                      </m:ctrlPr>
                    </m:radPr>
                    <m:deg/>
                    <m:e>
                      <m:nary>
                        <m:naryPr>
                          <m:chr m:val="∑"/>
                          <m:ctrlPr>
                            <a:rPr lang="en-US" sz="1000" b="0" i="1">
                              <a:latin typeface="Cambria Math" panose="02040503050406030204" pitchFamily="18" charset="0"/>
                              <a:ea typeface="Cambria Math"/>
                            </a:rPr>
                          </m:ctrlPr>
                        </m:naryPr>
                        <m:sub>
                          <m:r>
                            <m:rPr>
                              <m:brk m:alnAt="23"/>
                            </m:rPr>
                            <a:rPr lang="en-US" sz="1000" b="0" i="1">
                              <a:latin typeface="Cambria Math"/>
                              <a:ea typeface="Cambria Math"/>
                            </a:rPr>
                            <m:t>𝑛</m:t>
                          </m:r>
                          <m:r>
                            <a:rPr lang="en-US" sz="1000" b="0" i="1">
                              <a:latin typeface="Cambria Math"/>
                              <a:ea typeface="Cambria Math"/>
                            </a:rPr>
                            <m:t>=1</m:t>
                          </m:r>
                        </m:sub>
                        <m:sup>
                          <m:r>
                            <a:rPr lang="en-US" sz="1000" b="0" i="1">
                              <a:latin typeface="Cambria Math"/>
                              <a:ea typeface="Cambria Math"/>
                            </a:rPr>
                            <m:t>𝑛</m:t>
                          </m:r>
                        </m:sup>
                        <m:e>
                          <m:sSup>
                            <m:sSupPr>
                              <m:ctrlPr>
                                <a:rPr lang="en-US" sz="1000" b="0" i="1">
                                  <a:latin typeface="Cambria Math" panose="02040503050406030204" pitchFamily="18" charset="0"/>
                                  <a:ea typeface="Cambria Math"/>
                                </a:rPr>
                              </m:ctrlPr>
                            </m:sSupPr>
                            <m:e>
                              <m:sSub>
                                <m:sSubPr>
                                  <m:ctrlP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sSubPr>
                                <m:e>
                                  <m: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/>
                                      <a:ea typeface="+mn-ea"/>
                                      <a:cs typeface="+mn-cs"/>
                                    </a:rPr>
                                    <m:t>𝑉</m:t>
                                  </m:r>
                                </m:e>
                                <m:sub>
                                  <m: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/>
                                      <a:ea typeface="+mn-ea"/>
                                      <a:cs typeface="+mn-cs"/>
                                    </a:rPr>
                                    <m:t>𝐶𝐴𝑃</m:t>
                                  </m:r>
                                  <m: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/>
                                      <a:ea typeface="+mn-ea"/>
                                      <a:cs typeface="+mn-cs"/>
                                    </a:rPr>
                                    <m:t> </m:t>
                                  </m:r>
                                  <m: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/>
                                      <a:ea typeface="+mn-ea"/>
                                      <a:cs typeface="+mn-cs"/>
                                    </a:rPr>
                                    <m:t>𝐻𝐴𝑅𝑀𝑂𝑁𝐼𝐶</m:t>
                                  </m:r>
                                  <m: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/>
                                      <a:ea typeface="+mn-ea"/>
                                      <a:cs typeface="+mn-cs"/>
                                    </a:rPr>
                                    <m:t> </m:t>
                                  </m:r>
                                  <m: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/>
                                      <a:ea typeface="+mn-ea"/>
                                      <a:cs typeface="+mn-cs"/>
                                    </a:rPr>
                                    <m:t>𝑉𝑂𝐿𝑇𝐴𝐺𝐸</m:t>
                                  </m:r>
                                  <m: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/>
                                      <a:ea typeface="+mn-ea"/>
                                      <a:cs typeface="+mn-cs"/>
                                    </a:rPr>
                                    <m:t> (</m:t>
                                  </m:r>
                                  <m: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/>
                                      <a:ea typeface="+mn-ea"/>
                                      <a:cs typeface="+mn-cs"/>
                                    </a:rPr>
                                    <m:t>𝑉𝑂𝐿𝑇𝑆</m:t>
                                  </m:r>
                                  <m: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/>
                                      <a:ea typeface="+mn-ea"/>
                                      <a:cs typeface="+mn-cs"/>
                                    </a:rPr>
                                    <m:t>)</m:t>
                                  </m:r>
                                </m:sub>
                              </m:sSub>
                            </m:e>
                            <m:sup>
                              <m:r>
                                <a:rPr lang="en-US" sz="1000" b="0" i="1">
                                  <a:latin typeface="Cambria Math"/>
                                  <a:ea typeface="Cambria Math"/>
                                </a:rPr>
                                <m:t>2</m:t>
                              </m:r>
                            </m:sup>
                          </m:sSup>
                        </m:e>
                      </m:nary>
                    </m:e>
                  </m:rad>
                </m:oMath>
              </a14:m>
              <a:r>
                <a:rPr lang="en-US" sz="1000" b="0"/>
                <a:t> /1000</a:t>
              </a:r>
            </a:p>
          </xdr:txBody>
        </xdr:sp>
      </mc:Choice>
      <mc:Fallback xmlns="">
        <xdr:sp macro="" textlink="">
          <xdr:nvSpPr>
            <xdr:cNvPr id="31" name="TextBox 30"/>
            <xdr:cNvSpPr txBox="1"/>
          </xdr:nvSpPr>
          <xdr:spPr>
            <a:xfrm>
              <a:off x="4810125" y="9214346"/>
              <a:ext cx="4419600" cy="43447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:r>
                <a:rPr lang="en-US" sz="1000" b="0" i="0">
                  <a:latin typeface="Cambria Math"/>
                </a:rPr>
                <a:t>𝑉_(𝐶𝐴𝑃 𝑅𝑀𝑆 𝑉𝑂𝐿𝑇𝐴𝐺𝐸)</a:t>
              </a:r>
              <a:r>
                <a:rPr lang="en-US" sz="1000" b="0" i="0">
                  <a:latin typeface="Cambria Math"/>
                  <a:ea typeface="Cambria Math"/>
                </a:rPr>
                <a:t>=√(∑_(𝑛=1)^𝑛▒〖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𝑉_(𝐶𝐴𝑃 𝐻𝐴𝑅𝑀𝑂𝑁𝐼𝐶 𝑉𝑂𝐿𝑇𝐴𝐺𝐸 (𝑉𝑂𝐿𝑇𝑆))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Cambria Math"/>
                  <a:cs typeface="+mn-cs"/>
                </a:rPr>
                <a:t>〗^</a:t>
              </a:r>
              <a:r>
                <a:rPr lang="en-US" sz="1000" b="0" i="0">
                  <a:latin typeface="Cambria Math"/>
                  <a:ea typeface="Cambria Math"/>
                </a:rPr>
                <a:t>2 )</a:t>
              </a:r>
              <a:r>
                <a:rPr lang="en-US" sz="1000" b="0"/>
                <a:t> /1000</a:t>
              </a:r>
            </a:p>
          </xdr:txBody>
        </xdr:sp>
      </mc:Fallback>
    </mc:AlternateContent>
    <xdr:clientData/>
  </xdr:oneCellAnchor>
  <xdr:oneCellAnchor>
    <xdr:from>
      <xdr:col>4</xdr:col>
      <xdr:colOff>914399</xdr:colOff>
      <xdr:row>35</xdr:row>
      <xdr:rowOff>349704</xdr:rowOff>
    </xdr:from>
    <xdr:ext cx="3743325" cy="47897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2" name="TextBox 31">
              <a:extLst>
                <a:ext uri="{FF2B5EF4-FFF2-40B4-BE49-F238E27FC236}">
                  <a16:creationId xmlns:a16="http://schemas.microsoft.com/office/drawing/2014/main" id="{00000000-0008-0000-0100-000020000000}"/>
                </a:ext>
              </a:extLst>
            </xdr:cNvPr>
            <xdr:cNvSpPr txBox="1"/>
          </xdr:nvSpPr>
          <xdr:spPr>
            <a:xfrm>
              <a:off x="4810124" y="9560379"/>
              <a:ext cx="3743325" cy="47897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0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000" b="0" i="1">
                            <a:latin typeface="Cambria Math"/>
                          </a:rPr>
                          <m:t>𝑉</m:t>
                        </m:r>
                      </m:e>
                      <m:sub>
                        <m:r>
                          <a:rPr lang="en-US" sz="1000" b="0" i="1">
                            <a:latin typeface="Cambria Math"/>
                          </a:rPr>
                          <m:t>𝐶𝐴𝑃</m:t>
                        </m:r>
                        <m:r>
                          <a:rPr lang="en-US" sz="1000" b="0" i="1">
                            <a:latin typeface="Cambria Math"/>
                          </a:rPr>
                          <m:t> </m:t>
                        </m:r>
                        <m:r>
                          <a:rPr lang="en-US" sz="1000" b="0" i="1">
                            <a:latin typeface="Cambria Math"/>
                          </a:rPr>
                          <m:t>𝑃𝐸𝐴𝐾</m:t>
                        </m:r>
                        <m:r>
                          <a:rPr lang="en-US" sz="1000" b="0" i="1">
                            <a:latin typeface="Cambria Math"/>
                          </a:rPr>
                          <m:t> </m:t>
                        </m:r>
                        <m:r>
                          <a:rPr lang="en-US" sz="1000" b="0" i="1">
                            <a:latin typeface="Cambria Math"/>
                          </a:rPr>
                          <m:t>𝑉𝑂𝐿𝑇𝐴𝐺𝐸</m:t>
                        </m:r>
                      </m:sub>
                    </m:sSub>
                    <m:r>
                      <a:rPr lang="en-US" sz="1000" b="0" i="1">
                        <a:latin typeface="Cambria Math"/>
                        <a:ea typeface="Cambria Math"/>
                      </a:rPr>
                      <m:t>=1.414 ×</m:t>
                    </m:r>
                    <m:nary>
                      <m:naryPr>
                        <m:chr m:val="∑"/>
                        <m:ctrlPr>
                          <a:rPr lang="en-US" sz="10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naryPr>
                      <m:sub>
                        <m:r>
                          <m:rPr>
                            <m:brk m:alnAt="23"/>
                          </m:rPr>
                          <a:rPr lang="en-US" sz="10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𝑛</m:t>
                        </m:r>
                        <m:r>
                          <a:rPr lang="en-US" sz="10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=1</m:t>
                        </m:r>
                      </m:sub>
                      <m:sup>
                        <m:r>
                          <a:rPr lang="en-US" sz="10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𝑛</m:t>
                        </m:r>
                      </m:sup>
                      <m:e>
                        <m:sSup>
                          <m:sSupPr>
                            <m:ctrlPr>
                              <a:rPr lang="en-US" sz="10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sSub>
                              <m:sSubPr>
                                <m:ctrlPr>
                                  <a:rPr lang="en-US" sz="10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sz="10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𝑉</m:t>
                                </m:r>
                              </m:e>
                              <m:sub>
                                <m:r>
                                  <a:rPr lang="en-US" sz="10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𝐶𝐴𝑃</m:t>
                                </m:r>
                                <m:r>
                                  <a:rPr lang="en-US" sz="10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 </m:t>
                                </m:r>
                                <m:r>
                                  <a:rPr lang="en-US" sz="10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𝐻𝐴𝑅𝑀𝑂𝑁𝐼𝐶</m:t>
                                </m:r>
                                <m:r>
                                  <a:rPr lang="en-US" sz="10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 </m:t>
                                </m:r>
                                <m:r>
                                  <a:rPr lang="en-US" sz="10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𝑉𝑂𝐿𝑇𝐴𝐺𝐸</m:t>
                                </m:r>
                              </m:sub>
                            </m:sSub>
                          </m:e>
                          <m:sup/>
                        </m:sSup>
                      </m:e>
                    </m:nary>
                  </m:oMath>
                </m:oMathPara>
              </a14:m>
              <a:endParaRPr lang="en-US" sz="1000" b="0"/>
            </a:p>
          </xdr:txBody>
        </xdr:sp>
      </mc:Choice>
      <mc:Fallback xmlns="">
        <xdr:sp macro="" textlink="">
          <xdr:nvSpPr>
            <xdr:cNvPr id="32" name="TextBox 31"/>
            <xdr:cNvSpPr txBox="1"/>
          </xdr:nvSpPr>
          <xdr:spPr>
            <a:xfrm>
              <a:off x="4810124" y="9560379"/>
              <a:ext cx="3743325" cy="47897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:r>
                <a:rPr lang="en-US" sz="1000" b="0" i="0">
                  <a:latin typeface="Cambria Math"/>
                </a:rPr>
                <a:t>𝑉_(𝐶𝐴𝑃 𝑃𝐸𝐴𝐾 𝑉𝑂𝐿𝑇𝐴𝐺𝐸)</a:t>
              </a:r>
              <a:r>
                <a:rPr lang="en-US" sz="1000" b="0" i="0">
                  <a:latin typeface="Cambria Math"/>
                  <a:ea typeface="Cambria Math"/>
                </a:rPr>
                <a:t>=1.414 ×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∑_(𝑛=1)^𝑛▒〖𝑉_(𝐶𝐴𝑃 𝐻𝐴𝑅𝑀𝑂𝑁𝐼𝐶 𝑉𝑂𝐿𝑇𝐴𝐺𝐸)〗^ </a:t>
              </a:r>
              <a:endParaRPr lang="en-US" sz="1000" b="0"/>
            </a:p>
          </xdr:txBody>
        </xdr:sp>
      </mc:Fallback>
    </mc:AlternateContent>
    <xdr:clientData/>
  </xdr:oneCellAnchor>
  <xdr:oneCellAnchor>
    <xdr:from>
      <xdr:col>4</xdr:col>
      <xdr:colOff>939311</xdr:colOff>
      <xdr:row>36</xdr:row>
      <xdr:rowOff>353161</xdr:rowOff>
    </xdr:from>
    <xdr:ext cx="2552700" cy="40884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3" name="TextBox 32">
              <a:extLst>
                <a:ext uri="{FF2B5EF4-FFF2-40B4-BE49-F238E27FC236}">
                  <a16:creationId xmlns:a16="http://schemas.microsoft.com/office/drawing/2014/main" id="{00000000-0008-0000-0100-000021000000}"/>
                </a:ext>
              </a:extLst>
            </xdr:cNvPr>
            <xdr:cNvSpPr txBox="1"/>
          </xdr:nvSpPr>
          <xdr:spPr>
            <a:xfrm>
              <a:off x="4835036" y="9982936"/>
              <a:ext cx="2552700" cy="40884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14:m>
                <m:oMath xmlns:m="http://schemas.openxmlformats.org/officeDocument/2006/math">
                  <m:sSub>
                    <m:sSubPr>
                      <m:ctrlPr>
                        <a:rPr lang="en-US" sz="1000" b="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n-US" sz="1000" b="0" i="1">
                          <a:latin typeface="Cambria Math"/>
                        </a:rPr>
                        <m:t>𝐼</m:t>
                      </m:r>
                    </m:e>
                    <m:sub>
                      <m:r>
                        <a:rPr lang="en-US" sz="1000" b="0" i="1">
                          <a:latin typeface="Cambria Math"/>
                        </a:rPr>
                        <m:t>𝐶𝐴𝑃</m:t>
                      </m:r>
                      <m:r>
                        <a:rPr lang="en-US" sz="1000" b="0" i="1">
                          <a:latin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</a:rPr>
                        <m:t>𝑅𝑀𝑆</m:t>
                      </m:r>
                      <m:r>
                        <a:rPr lang="en-US" sz="1000" b="0" i="1">
                          <a:latin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</a:rPr>
                        <m:t>𝐶𝑈𝑅𝑅𝐸𝑁𝑇</m:t>
                      </m:r>
                    </m:sub>
                  </m:sSub>
                  <m:r>
                    <a:rPr lang="en-US" sz="1000" b="0" i="1">
                      <a:latin typeface="Cambria Math"/>
                      <a:ea typeface="Cambria Math"/>
                    </a:rPr>
                    <m:t>=</m:t>
                  </m:r>
                  <m:rad>
                    <m:radPr>
                      <m:degHide m:val="on"/>
                      <m:ctrlPr>
                        <a:rPr lang="en-US" sz="1000" b="0" i="1">
                          <a:latin typeface="Cambria Math" panose="02040503050406030204" pitchFamily="18" charset="0"/>
                          <a:ea typeface="Cambria Math"/>
                        </a:rPr>
                      </m:ctrlPr>
                    </m:radPr>
                    <m:deg/>
                    <m:e>
                      <m:nary>
                        <m:naryPr>
                          <m:chr m:val="∑"/>
                          <m:ctrlPr>
                            <a:rPr lang="en-US" sz="1000" b="0" i="1">
                              <a:latin typeface="Cambria Math" panose="02040503050406030204" pitchFamily="18" charset="0"/>
                              <a:ea typeface="Cambria Math"/>
                            </a:rPr>
                          </m:ctrlPr>
                        </m:naryPr>
                        <m:sub>
                          <m:r>
                            <m:rPr>
                              <m:brk m:alnAt="23"/>
                            </m:rPr>
                            <a:rPr lang="en-US" sz="1000" b="0" i="1">
                              <a:latin typeface="Cambria Math"/>
                              <a:ea typeface="Cambria Math"/>
                            </a:rPr>
                            <m:t>𝑛</m:t>
                          </m:r>
                          <m:r>
                            <a:rPr lang="en-US" sz="1000" b="0" i="1">
                              <a:latin typeface="Cambria Math"/>
                              <a:ea typeface="Cambria Math"/>
                            </a:rPr>
                            <m:t>=1</m:t>
                          </m:r>
                        </m:sub>
                        <m:sup>
                          <m:r>
                            <a:rPr lang="en-US" sz="1000" b="0" i="1">
                              <a:latin typeface="Cambria Math"/>
                              <a:ea typeface="Cambria Math"/>
                            </a:rPr>
                            <m:t>𝑛</m:t>
                          </m:r>
                        </m:sup>
                        <m:e>
                          <m:sSubSup>
                            <m:sSubSupPr>
                              <m:ctrlPr>
                                <a:rPr lang="en-US" sz="1000" b="0" i="1">
                                  <a:latin typeface="Cambria Math" panose="02040503050406030204" pitchFamily="18" charset="0"/>
                                  <a:ea typeface="Cambria Math"/>
                                </a:rPr>
                              </m:ctrlPr>
                            </m:sSubSupPr>
                            <m:e>
                              <m:sSubSup>
                                <m:sSubSupPr>
                                  <m:ctrlPr>
                                    <a:rPr lang="en-US" sz="1000" b="0" i="1">
                                      <a:latin typeface="Cambria Math" panose="02040503050406030204" pitchFamily="18" charset="0"/>
                                      <a:ea typeface="Cambria Math"/>
                                    </a:rPr>
                                  </m:ctrlPr>
                                </m:sSubSupPr>
                                <m:e>
                                  <m:r>
                                    <a:rPr lang="en-US" sz="1000" b="0" i="1">
                                      <a:latin typeface="Cambria Math"/>
                                      <a:ea typeface="Cambria Math"/>
                                    </a:rPr>
                                    <m:t>𝐼</m:t>
                                  </m:r>
                                </m:e>
                                <m:sub>
                                  <m:r>
                                    <a:rPr lang="en-US" sz="1000" b="0" i="1">
                                      <a:latin typeface="Cambria Math"/>
                                      <a:ea typeface="Cambria Math"/>
                                    </a:rPr>
                                    <m:t>𝑛</m:t>
                                  </m:r>
                                </m:sub>
                                <m:sup/>
                              </m:sSubSup>
                            </m:e>
                            <m:sub/>
                            <m:sup>
                              <m:r>
                                <a:rPr lang="en-US" sz="1000" b="0" i="1">
                                  <a:latin typeface="Cambria Math"/>
                                  <a:ea typeface="Cambria Math"/>
                                </a:rPr>
                                <m:t>2</m:t>
                              </m:r>
                            </m:sup>
                          </m:sSubSup>
                        </m:e>
                      </m:nary>
                    </m:e>
                  </m:rad>
                </m:oMath>
              </a14:m>
              <a:r>
                <a:rPr lang="en-US" sz="1000" b="0"/>
                <a:t> /N</a:t>
              </a:r>
            </a:p>
          </xdr:txBody>
        </xdr:sp>
      </mc:Choice>
      <mc:Fallback xmlns="">
        <xdr:sp macro="" textlink="">
          <xdr:nvSpPr>
            <xdr:cNvPr id="33" name="TextBox 32"/>
            <xdr:cNvSpPr txBox="1"/>
          </xdr:nvSpPr>
          <xdr:spPr>
            <a:xfrm>
              <a:off x="4835036" y="9982936"/>
              <a:ext cx="2552700" cy="40884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:r>
                <a:rPr lang="en-US" sz="1000" b="0" i="0">
                  <a:latin typeface="Cambria Math"/>
                </a:rPr>
                <a:t>𝐼_(𝐶𝐴𝑃 𝑅𝑀𝑆 𝐶𝑈𝑅𝑅𝐸𝑁𝑇)</a:t>
              </a:r>
              <a:r>
                <a:rPr lang="en-US" sz="1000" b="0" i="0">
                  <a:latin typeface="Cambria Math"/>
                  <a:ea typeface="Cambria Math"/>
                </a:rPr>
                <a:t>=√(∑_(𝑛=1)^𝑛▒〖𝐼_𝑛^ 〗_^2 )</a:t>
              </a:r>
              <a:r>
                <a:rPr lang="en-US" sz="1000" b="0"/>
                <a:t> /N</a:t>
              </a:r>
            </a:p>
          </xdr:txBody>
        </xdr:sp>
      </mc:Fallback>
    </mc:AlternateContent>
    <xdr:clientData/>
  </xdr:oneCellAnchor>
  <xdr:twoCellAnchor editAs="oneCell">
    <xdr:from>
      <xdr:col>10</xdr:col>
      <xdr:colOff>1119616</xdr:colOff>
      <xdr:row>59</xdr:row>
      <xdr:rowOff>149931</xdr:rowOff>
    </xdr:from>
    <xdr:to>
      <xdr:col>12</xdr:col>
      <xdr:colOff>1</xdr:colOff>
      <xdr:row>61</xdr:row>
      <xdr:rowOff>2240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000"/>
        <a:stretch/>
      </xdr:blipFill>
      <xdr:spPr>
        <a:xfrm>
          <a:off x="8958691" y="16075731"/>
          <a:ext cx="1899810" cy="57396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9</xdr:row>
          <xdr:rowOff>57150</xdr:rowOff>
        </xdr:from>
        <xdr:to>
          <xdr:col>11</xdr:col>
          <xdr:colOff>1828800</xdr:colOff>
          <xdr:row>9</xdr:row>
          <xdr:rowOff>238125</xdr:rowOff>
        </xdr:to>
        <xdr:sp macro="" textlink="">
          <xdr:nvSpPr>
            <xdr:cNvPr id="2049" name="Scroll Bar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xdr:twoCellAnchor>
    <xdr:from>
      <xdr:col>1</xdr:col>
      <xdr:colOff>733426</xdr:colOff>
      <xdr:row>140</xdr:row>
      <xdr:rowOff>95250</xdr:rowOff>
    </xdr:from>
    <xdr:to>
      <xdr:col>11</xdr:col>
      <xdr:colOff>733426</xdr:colOff>
      <xdr:row>163</xdr:row>
      <xdr:rowOff>95250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10</xdr:col>
      <xdr:colOff>843391</xdr:colOff>
      <xdr:row>134</xdr:row>
      <xdr:rowOff>95250</xdr:rowOff>
    </xdr:from>
    <xdr:to>
      <xdr:col>11</xdr:col>
      <xdr:colOff>1638301</xdr:colOff>
      <xdr:row>136</xdr:row>
      <xdr:rowOff>123827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000"/>
        <a:stretch/>
      </xdr:blipFill>
      <xdr:spPr>
        <a:xfrm>
          <a:off x="8939641" y="30680025"/>
          <a:ext cx="1852185" cy="5429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15</xdr:row>
          <xdr:rowOff>0</xdr:rowOff>
        </xdr:from>
        <xdr:to>
          <xdr:col>10</xdr:col>
          <xdr:colOff>1047750</xdr:colOff>
          <xdr:row>15</xdr:row>
          <xdr:rowOff>200025</xdr:rowOff>
        </xdr:to>
        <xdr:sp macro="" textlink="">
          <xdr:nvSpPr>
            <xdr:cNvPr id="2050" name="Scroll Bar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xdr:oneCellAnchor>
    <xdr:from>
      <xdr:col>5</xdr:col>
      <xdr:colOff>0</xdr:colOff>
      <xdr:row>38</xdr:row>
      <xdr:rowOff>19009</xdr:rowOff>
    </xdr:from>
    <xdr:ext cx="2552700" cy="39052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7" name="TextBox 36">
              <a:extLst>
                <a:ext uri="{FF2B5EF4-FFF2-40B4-BE49-F238E27FC236}">
                  <a16:creationId xmlns:a16="http://schemas.microsoft.com/office/drawing/2014/main" id="{00000000-0008-0000-0100-000025000000}"/>
                </a:ext>
              </a:extLst>
            </xdr:cNvPr>
            <xdr:cNvSpPr txBox="1"/>
          </xdr:nvSpPr>
          <xdr:spPr>
            <a:xfrm>
              <a:off x="5062538" y="10105984"/>
              <a:ext cx="2552700" cy="39052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14:m>
                <m:oMath xmlns:m="http://schemas.openxmlformats.org/officeDocument/2006/math">
                  <m:sSub>
                    <m:sSubPr>
                      <m:ctrlPr>
                        <a:rPr lang="en-US" sz="1000" b="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n-US" sz="1000" b="0" i="1">
                          <a:latin typeface="Cambria Math"/>
                        </a:rPr>
                        <m:t>𝑄</m:t>
                      </m:r>
                    </m:e>
                    <m:sub>
                      <m:r>
                        <a:rPr lang="en-US" sz="1000" b="0" i="1">
                          <a:latin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</a:rPr>
                        <m:t>𝐶𝐴𝑃𝐴𝐶𝐼𝑇𝑂𝑅</m:t>
                      </m:r>
                    </m:sub>
                  </m:sSub>
                  <m:r>
                    <a:rPr lang="en-US" sz="1000" b="0" i="1">
                      <a:latin typeface="Cambria Math"/>
                      <a:ea typeface="Cambria Math"/>
                    </a:rPr>
                    <m:t>=</m:t>
                  </m:r>
                  <m:nary>
                    <m:naryPr>
                      <m:chr m:val="∑"/>
                      <m:ctrlP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naryPr>
                    <m:sub>
                      <m:r>
                        <m:rPr>
                          <m:brk m:alnAt="23"/>
                        </m:rP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𝑛</m:t>
                      </m:r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=1</m:t>
                      </m:r>
                    </m:sub>
                    <m:sup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𝑛</m:t>
                      </m:r>
                    </m:sup>
                    <m:e>
                      <m:sSubSup>
                        <m:sSubSupPr>
                          <m:ctrlPr>
                            <a:rPr lang="en-US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SupPr>
                        <m:e>
                          <m:sSubSup>
                            <m:sSubSupPr>
                              <m:ctrlPr>
                                <a:rPr lang="en-US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SupPr>
                            <m:e>
                              <m:f>
                                <m:fPr>
                                  <m:ctrlPr>
                                    <a:rPr lang="en-US" sz="11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fPr>
                                <m:num>
                                  <m:sSub>
                                    <m:sSubPr>
                                      <m:ctrlPr>
                                        <a:rPr lang="en-US" sz="1100" b="0" i="1">
                                          <a:solidFill>
                                            <a:schemeClr val="tx1"/>
                                          </a:solidFill>
                                          <a:effectLst/>
                                          <a:latin typeface="Cambria Math" panose="02040503050406030204" pitchFamily="18" charset="0"/>
                                          <a:ea typeface="+mn-ea"/>
                                          <a:cs typeface="+mn-cs"/>
                                        </a:rPr>
                                      </m:ctrlPr>
                                    </m:sSubPr>
                                    <m:e>
                                      <m:r>
                                        <a:rPr lang="en-US" sz="1100" b="0" i="1">
                                          <a:solidFill>
                                            <a:schemeClr val="tx1"/>
                                          </a:solidFill>
                                          <a:effectLst/>
                                          <a:latin typeface="Cambria Math"/>
                                          <a:ea typeface="+mn-ea"/>
                                          <a:cs typeface="+mn-cs"/>
                                        </a:rPr>
                                        <m:t>𝑋</m:t>
                                      </m:r>
                                    </m:e>
                                    <m:sub>
                                      <m:r>
                                        <a:rPr lang="en-US" sz="1100" b="0" i="1">
                                          <a:solidFill>
                                            <a:schemeClr val="tx1"/>
                                          </a:solidFill>
                                          <a:effectLst/>
                                          <a:latin typeface="Cambria Math"/>
                                          <a:ea typeface="+mn-ea"/>
                                          <a:cs typeface="+mn-cs"/>
                                        </a:rPr>
                                        <m:t>𝑐</m:t>
                                      </m:r>
                                    </m:sub>
                                  </m:sSub>
                                </m:num>
                                <m:den>
                                  <m:r>
                                    <a:rPr lang="en-US" sz="11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/>
                                      <a:ea typeface="+mn-ea"/>
                                      <a:cs typeface="+mn-cs"/>
                                    </a:rPr>
                                    <m:t>𝑛</m:t>
                                  </m:r>
                                </m:den>
                              </m:f>
                              <m:r>
                                <a:rPr lang="en-US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 </m:t>
                              </m:r>
                              <m:r>
                                <a:rPr lang="en-US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𝑥</m:t>
                              </m:r>
                              <m:r>
                                <a:rPr lang="en-US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 </m:t>
                              </m:r>
                              <m:r>
                                <a:rPr lang="en-US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𝐼</m:t>
                              </m:r>
                            </m:e>
                            <m:sub>
                              <m:r>
                                <a:rPr lang="en-US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𝑛</m:t>
                              </m:r>
                            </m:sub>
                            <m:sup/>
                          </m:sSubSup>
                        </m:e>
                        <m:sub/>
                        <m:sup>
                          <m:r>
                            <a:rPr lang="en-US" sz="11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</m:t>
                          </m:r>
                        </m:sup>
                      </m:sSubSup>
                    </m:e>
                  </m:nary>
                </m:oMath>
              </a14:m>
              <a:r>
                <a:rPr lang="en-US" sz="1000" b="0"/>
                <a:t> /1000</a:t>
              </a:r>
            </a:p>
          </xdr:txBody>
        </xdr:sp>
      </mc:Choice>
      <mc:Fallback xmlns="">
        <xdr:sp macro="" textlink="">
          <xdr:nvSpPr>
            <xdr:cNvPr id="37" name="TextBox 36"/>
            <xdr:cNvSpPr txBox="1"/>
          </xdr:nvSpPr>
          <xdr:spPr>
            <a:xfrm>
              <a:off x="5062538" y="10105984"/>
              <a:ext cx="2552700" cy="39052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:r>
                <a:rPr lang="en-US" sz="1000" b="0" i="0">
                  <a:latin typeface="Cambria Math"/>
                </a:rPr>
                <a:t>𝑄_( 𝐶𝐴𝑃𝐴𝐶𝐼𝑇𝑂𝑅)</a:t>
              </a:r>
              <a:r>
                <a:rPr lang="en-US" sz="1000" b="0" i="0">
                  <a:latin typeface="Cambria Math"/>
                  <a:ea typeface="Cambria Math"/>
                </a:rPr>
                <a:t>=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∑_(𝑛=1)^𝑛▒〖〖𝑋_𝑐/𝑛  𝑥 𝐼〗_𝑛^ 〗_^2 </a:t>
              </a:r>
              <a:r>
                <a:rPr lang="en-US" sz="1000" b="0"/>
                <a:t> /1000</a:t>
              </a:r>
            </a:p>
          </xdr:txBody>
        </xdr:sp>
      </mc:Fallback>
    </mc:AlternateContent>
    <xdr:clientData/>
  </xdr:oneCellAnchor>
  <xdr:twoCellAnchor editAs="oneCell">
    <xdr:from>
      <xdr:col>29</xdr:col>
      <xdr:colOff>308162</xdr:colOff>
      <xdr:row>23</xdr:row>
      <xdr:rowOff>171450</xdr:rowOff>
    </xdr:from>
    <xdr:to>
      <xdr:col>38</xdr:col>
      <xdr:colOff>259136</xdr:colOff>
      <xdr:row>40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3"/>
        <a:stretch/>
      </xdr:blipFill>
      <xdr:spPr>
        <a:xfrm>
          <a:off x="30616712" y="5724525"/>
          <a:ext cx="5875524" cy="6048375"/>
        </a:xfrm>
        <a:prstGeom prst="rect">
          <a:avLst/>
        </a:prstGeom>
      </xdr:spPr>
    </xdr:pic>
    <xdr:clientData/>
  </xdr:twoCellAnchor>
  <xdr:twoCellAnchor editAs="oneCell">
    <xdr:from>
      <xdr:col>29</xdr:col>
      <xdr:colOff>323849</xdr:colOff>
      <xdr:row>2</xdr:row>
      <xdr:rowOff>202746</xdr:rowOff>
    </xdr:from>
    <xdr:to>
      <xdr:col>38</xdr:col>
      <xdr:colOff>227738</xdr:colOff>
      <xdr:row>23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32399" y="755196"/>
          <a:ext cx="5828439" cy="4807404"/>
        </a:xfrm>
        <a:prstGeom prst="rect">
          <a:avLst/>
        </a:prstGeom>
      </xdr:spPr>
    </xdr:pic>
    <xdr:clientData/>
  </xdr:twoCellAnchor>
  <xdr:twoCellAnchor>
    <xdr:from>
      <xdr:col>29</xdr:col>
      <xdr:colOff>291353</xdr:colOff>
      <xdr:row>40</xdr:row>
      <xdr:rowOff>212912</xdr:rowOff>
    </xdr:from>
    <xdr:to>
      <xdr:col>38</xdr:col>
      <xdr:colOff>190711</xdr:colOff>
      <xdr:row>64</xdr:row>
      <xdr:rowOff>149039</xdr:rowOff>
    </xdr:to>
    <xdr:pic>
      <xdr:nvPicPr>
        <xdr:cNvPr id="34" name="BC7469DF-48C5-4C6C-944A-01CDF8B1CAA2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77"/>
        <a:stretch/>
      </xdr:blipFill>
      <xdr:spPr bwMode="auto">
        <a:xfrm>
          <a:off x="30558441" y="11788588"/>
          <a:ext cx="5793652" cy="5471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219390</xdr:colOff>
      <xdr:row>88</xdr:row>
      <xdr:rowOff>152401</xdr:rowOff>
    </xdr:from>
    <xdr:to>
      <xdr:col>1</xdr:col>
      <xdr:colOff>819150</xdr:colOff>
      <xdr:row>107</xdr:row>
      <xdr:rowOff>76200</xdr:rowOff>
    </xdr:to>
    <xdr:pic>
      <xdr:nvPicPr>
        <xdr:cNvPr id="2" name="Picture 1" descr="Screen Clippi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9460" r="23501"/>
        <a:stretch/>
      </xdr:blipFill>
      <xdr:spPr>
        <a:xfrm>
          <a:off x="381315" y="23517226"/>
          <a:ext cx="599760" cy="3609974"/>
        </a:xfrm>
        <a:prstGeom prst="rect">
          <a:avLst/>
        </a:prstGeom>
        <a:effectLst>
          <a:outerShdw sx="1000" sy="1000" algn="ctr" rotWithShape="0">
            <a:srgbClr val="000000"/>
          </a:outerShdw>
        </a:effectLst>
      </xdr:spPr>
    </xdr:pic>
    <xdr:clientData/>
  </xdr:twoCellAnchor>
  <xdr:oneCellAnchor>
    <xdr:from>
      <xdr:col>4</xdr:col>
      <xdr:colOff>828674</xdr:colOff>
      <xdr:row>24</xdr:row>
      <xdr:rowOff>104775</xdr:rowOff>
    </xdr:from>
    <xdr:ext cx="2133601" cy="32823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00000000-0008-0000-0200-000005000000}"/>
                </a:ext>
              </a:extLst>
            </xdr:cNvPr>
            <xdr:cNvSpPr txBox="1"/>
          </xdr:nvSpPr>
          <xdr:spPr>
            <a:xfrm>
              <a:off x="4629149" y="4895850"/>
              <a:ext cx="2133601" cy="32823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n-US" sz="1000" b="0" i="1">
                      <a:latin typeface="Cambria Math"/>
                    </a:rPr>
                    <m:t>𝐻</m:t>
                  </m:r>
                  <m:r>
                    <a:rPr lang="en-US" sz="1000" b="0" i="1">
                      <a:latin typeface="Cambria Math"/>
                      <a:ea typeface="Cambria Math"/>
                    </a:rPr>
                    <m:t>=</m:t>
                  </m:r>
                  <m:f>
                    <m:fPr>
                      <m:ctrlPr>
                        <a:rPr lang="en-US" sz="1000" b="0" i="1">
                          <a:latin typeface="Cambria Math" panose="02040503050406030204" pitchFamily="18" charset="0"/>
                          <a:ea typeface="Cambria Math"/>
                        </a:rPr>
                      </m:ctrlPr>
                    </m:fPr>
                    <m:num>
                      <m:sSub>
                        <m:sSubPr>
                          <m:ctrlPr>
                            <a:rPr lang="en-US" sz="1000" b="0" i="1">
                              <a:latin typeface="Cambria Math" panose="02040503050406030204" pitchFamily="18" charset="0"/>
                              <a:ea typeface="Cambria Math"/>
                            </a:rPr>
                          </m:ctrlPr>
                        </m:sSubPr>
                        <m:e>
                          <m:r>
                            <a:rPr lang="en-US" sz="1000" b="0" i="1">
                              <a:latin typeface="Cambria Math"/>
                              <a:ea typeface="Cambria Math"/>
                            </a:rPr>
                            <m:t>𝑋</m:t>
                          </m:r>
                        </m:e>
                        <m:sub>
                          <m:r>
                            <a:rPr lang="en-US" sz="1000" b="0" i="1">
                              <a:latin typeface="Cambria Math"/>
                              <a:ea typeface="Cambria Math"/>
                            </a:rPr>
                            <m:t>𝐿</m:t>
                          </m:r>
                        </m:sub>
                      </m:sSub>
                    </m:num>
                    <m:den>
                      <m:r>
                        <a:rPr lang="en-US" sz="1000" b="0" i="1">
                          <a:latin typeface="Cambria Math"/>
                          <a:ea typeface="Cambria Math"/>
                        </a:rPr>
                        <m:t>2</m:t>
                      </m:r>
                      <m:r>
                        <a:rPr lang="en-US" sz="1000" b="0" i="1">
                          <a:latin typeface="Cambria Math"/>
                          <a:ea typeface="Cambria Math"/>
                        </a:rPr>
                        <m:t>𝜋</m:t>
                      </m:r>
                      <m:r>
                        <a:rPr lang="en-US" sz="1000" b="0" i="1">
                          <a:latin typeface="Cambria Math"/>
                          <a:ea typeface="Cambria Math"/>
                        </a:rPr>
                        <m:t>𝑓</m:t>
                      </m:r>
                    </m:den>
                  </m:f>
                  <m:r>
                    <a:rPr lang="en-US" sz="1000" b="0" i="1">
                      <a:latin typeface="Cambria Math"/>
                      <a:ea typeface="Cambria Math"/>
                    </a:rPr>
                    <m:t>×1000</m:t>
                  </m:r>
                </m:oMath>
              </a14:m>
              <a:r>
                <a:rPr lang="en-US" sz="1000"/>
                <a:t> (mH)</a:t>
              </a:r>
            </a:p>
          </xdr:txBody>
        </xdr:sp>
      </mc:Choice>
      <mc:Fallback xmlns="">
        <xdr:sp macro="" textlink="">
          <xdr:nvSpPr>
            <xdr:cNvPr id="5" name="TextBox 4"/>
            <xdr:cNvSpPr txBox="1"/>
          </xdr:nvSpPr>
          <xdr:spPr>
            <a:xfrm>
              <a:off x="4629149" y="4895850"/>
              <a:ext cx="2133601" cy="32823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1000" b="0" i="0">
                  <a:latin typeface="Cambria Math"/>
                </a:rPr>
                <a:t>𝐻</a:t>
              </a:r>
              <a:r>
                <a:rPr lang="en-US" sz="1000" b="0" i="0">
                  <a:latin typeface="Cambria Math"/>
                  <a:ea typeface="Cambria Math"/>
                </a:rPr>
                <a:t>=𝑋_𝐿/2𝜋𝑓×1000</a:t>
              </a:r>
              <a:r>
                <a:rPr lang="en-US" sz="1000"/>
                <a:t> (mH)</a:t>
              </a:r>
            </a:p>
          </xdr:txBody>
        </xdr:sp>
      </mc:Fallback>
    </mc:AlternateContent>
    <xdr:clientData/>
  </xdr:oneCellAnchor>
  <xdr:oneCellAnchor>
    <xdr:from>
      <xdr:col>4</xdr:col>
      <xdr:colOff>781049</xdr:colOff>
      <xdr:row>28</xdr:row>
      <xdr:rowOff>38100</xdr:rowOff>
    </xdr:from>
    <xdr:ext cx="4097408" cy="35163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00000000-0008-0000-0200-000006000000}"/>
                </a:ext>
              </a:extLst>
            </xdr:cNvPr>
            <xdr:cNvSpPr txBox="1"/>
          </xdr:nvSpPr>
          <xdr:spPr>
            <a:xfrm>
              <a:off x="4591049" y="7185991"/>
              <a:ext cx="4097408" cy="35163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US" sz="1000" b="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sSub>
                        <m:sSubPr>
                          <m:ctrlPr>
                            <a:rPr lang="en-US" sz="1000" b="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n-US" sz="1000" b="0" i="1">
                              <a:latin typeface="Cambria Math"/>
                            </a:rPr>
                            <m:t>𝑄</m:t>
                          </m:r>
                        </m:e>
                        <m:sub>
                          <m:r>
                            <a:rPr lang="en-US" sz="1000" b="0" i="1">
                              <a:latin typeface="Cambria Math"/>
                            </a:rPr>
                            <m:t>𝑀𝐴𝐼𝑁</m:t>
                          </m:r>
                          <m:r>
                            <a:rPr lang="en-US" sz="1000" b="0" i="1">
                              <a:latin typeface="Cambria Math"/>
                            </a:rPr>
                            <m:t> </m:t>
                          </m:r>
                          <m:r>
                            <a:rPr lang="en-US" sz="1000" b="0" i="1">
                              <a:latin typeface="Cambria Math"/>
                            </a:rPr>
                            <m:t>𝑅𝐴𝑇𝐸𝐷</m:t>
                          </m:r>
                          <m:r>
                            <a:rPr lang="en-US" sz="1000" b="0" i="1">
                              <a:latin typeface="Cambria Math"/>
                            </a:rPr>
                            <m:t> </m:t>
                          </m:r>
                          <m:r>
                            <a:rPr lang="en-US" sz="1000" b="0" i="1">
                              <a:latin typeface="Cambria Math"/>
                            </a:rPr>
                            <m:t>𝑃𝐸𝑅</m:t>
                          </m:r>
                          <m:r>
                            <a:rPr lang="en-US" sz="1000" b="0" i="1">
                              <a:latin typeface="Cambria Math"/>
                            </a:rPr>
                            <m:t> </m:t>
                          </m:r>
                          <m:r>
                            <a:rPr lang="en-US" sz="1000" b="0" i="1">
                              <a:latin typeface="Cambria Math"/>
                            </a:rPr>
                            <m:t>𝑃𝐻𝐴𝑆𝐸</m:t>
                          </m:r>
                        </m:sub>
                      </m:sSub>
                      <m:r>
                        <a:rPr lang="en-US" sz="1000" b="0" i="1">
                          <a:latin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  <a:ea typeface="Cambria Math"/>
                        </a:rPr>
                        <m:t>=</m:t>
                      </m:r>
                      <m:f>
                        <m:fPr>
                          <m:ctrlPr>
                            <a:rPr lang="en-US" sz="1000" b="0" i="1">
                              <a:latin typeface="Cambria Math" panose="02040503050406030204" pitchFamily="18" charset="0"/>
                              <a:ea typeface="Cambria Math"/>
                            </a:rPr>
                          </m:ctrlPr>
                        </m:fPr>
                        <m:num>
                          <m:sSup>
                            <m:sSupPr>
                              <m:ctrlPr>
                                <a:rPr lang="en-US" sz="10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pPr>
                            <m:e>
                              <m:d>
                                <m:dPr>
                                  <m:ctrlP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dPr>
                                <m:e>
                                  <m:sSub>
                                    <m:sSubPr>
                                      <m:ctrlPr>
                                        <a:rPr lang="en-US" sz="1000" b="0" i="1">
                                          <a:solidFill>
                                            <a:schemeClr val="tx1"/>
                                          </a:solidFill>
                                          <a:effectLst/>
                                          <a:latin typeface="Cambria Math" panose="02040503050406030204" pitchFamily="18" charset="0"/>
                                          <a:ea typeface="+mn-ea"/>
                                          <a:cs typeface="+mn-cs"/>
                                        </a:rPr>
                                      </m:ctrlPr>
                                    </m:sSubPr>
                                    <m:e>
                                      <m:r>
                                        <a:rPr lang="en-US" sz="1000" b="0" i="1">
                                          <a:solidFill>
                                            <a:schemeClr val="tx1"/>
                                          </a:solidFill>
                                          <a:effectLst/>
                                          <a:latin typeface="Cambria Math"/>
                                          <a:ea typeface="+mn-ea"/>
                                          <a:cs typeface="+mn-cs"/>
                                        </a:rPr>
                                        <m:t>𝑉</m:t>
                                      </m:r>
                                    </m:e>
                                    <m:sub>
                                      <m:r>
                                        <a:rPr lang="en-US" sz="1000" b="0" i="1">
                                          <a:solidFill>
                                            <a:schemeClr val="tx1"/>
                                          </a:solidFill>
                                          <a:effectLst/>
                                          <a:latin typeface="Cambria Math"/>
                                          <a:ea typeface="+mn-ea"/>
                                          <a:cs typeface="+mn-cs"/>
                                        </a:rPr>
                                        <m:t>𝐶𝐴𝑃</m:t>
                                      </m:r>
                                      <m:r>
                                        <a:rPr lang="en-US" sz="1000" b="0" i="1">
                                          <a:solidFill>
                                            <a:schemeClr val="tx1"/>
                                          </a:solidFill>
                                          <a:effectLst/>
                                          <a:latin typeface="Cambria Math"/>
                                          <a:ea typeface="+mn-ea"/>
                                          <a:cs typeface="+mn-cs"/>
                                        </a:rPr>
                                        <m:t> </m:t>
                                      </m:r>
                                      <m:r>
                                        <a:rPr lang="en-US" sz="1000" b="0" i="1">
                                          <a:solidFill>
                                            <a:schemeClr val="tx1"/>
                                          </a:solidFill>
                                          <a:effectLst/>
                                          <a:latin typeface="Cambria Math"/>
                                          <a:ea typeface="+mn-ea"/>
                                          <a:cs typeface="+mn-cs"/>
                                        </a:rPr>
                                        <m:t>𝑀𝐴𝐼𝑁</m:t>
                                      </m:r>
                                      <m:r>
                                        <a:rPr lang="en-US" sz="1000" b="0" i="1">
                                          <a:solidFill>
                                            <a:schemeClr val="tx1"/>
                                          </a:solidFill>
                                          <a:effectLst/>
                                          <a:latin typeface="Cambria Math"/>
                                          <a:ea typeface="+mn-ea"/>
                                          <a:cs typeface="+mn-cs"/>
                                        </a:rPr>
                                        <m:t> </m:t>
                                      </m:r>
                                      <m:r>
                                        <a:rPr lang="en-US" sz="1000" b="0" i="1">
                                          <a:solidFill>
                                            <a:schemeClr val="tx1"/>
                                          </a:solidFill>
                                          <a:effectLst/>
                                          <a:latin typeface="Cambria Math"/>
                                          <a:ea typeface="+mn-ea"/>
                                          <a:cs typeface="+mn-cs"/>
                                        </a:rPr>
                                        <m:t>𝑅𝐴𝑇𝐼𝑁𝐺</m:t>
                                      </m:r>
                                    </m:sub>
                                  </m:sSub>
                                </m:e>
                              </m:d>
                            </m:e>
                            <m:sup>
                              <m:r>
                                <a:rPr lang="en-US" sz="10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2</m:t>
                              </m:r>
                            </m:sup>
                          </m:sSup>
                        </m:num>
                        <m:den>
                          <m:sSub>
                            <m:sSubPr>
                              <m:ctrlPr>
                                <a:rPr lang="en-US" sz="1000" b="0" i="1">
                                  <a:latin typeface="Cambria Math" panose="02040503050406030204" pitchFamily="18" charset="0"/>
                                  <a:ea typeface="Cambria Math"/>
                                </a:rPr>
                              </m:ctrlPr>
                            </m:sSubPr>
                            <m:e>
                              <m:r>
                                <a:rPr lang="en-US" sz="1000" b="0" i="1">
                                  <a:latin typeface="Cambria Math"/>
                                  <a:ea typeface="Cambria Math"/>
                                </a:rPr>
                                <m:t>𝑋</m:t>
                              </m:r>
                            </m:e>
                            <m:sub>
                              <m:r>
                                <a:rPr lang="en-US" sz="1000" b="0" i="1">
                                  <a:latin typeface="Cambria Math"/>
                                  <a:ea typeface="Cambria Math"/>
                                </a:rPr>
                                <m:t>𝐶</m:t>
                              </m:r>
                              <m:r>
                                <a:rPr lang="en-US" sz="1000" b="0" i="1">
                                  <a:latin typeface="Cambria Math"/>
                                  <a:ea typeface="Cambria Math"/>
                                </a:rPr>
                                <m:t>−</m:t>
                              </m:r>
                              <m:r>
                                <a:rPr lang="en-US" sz="1000" b="0" i="1">
                                  <a:latin typeface="Cambria Math"/>
                                  <a:ea typeface="Cambria Math"/>
                                </a:rPr>
                                <m:t>𝑀𝐴𝐼𝑁</m:t>
                              </m:r>
                            </m:sub>
                          </m:sSub>
                        </m:den>
                      </m:f>
                      <m:r>
                        <a:rPr lang="en-US" sz="1000" b="0" i="1">
                          <a:latin typeface="Cambria Math"/>
                          <a:ea typeface="Cambria Math"/>
                        </a:rPr>
                        <m:t>×1000</m:t>
                      </m:r>
                    </m:e>
                    <m:sub/>
                  </m:sSub>
                </m:oMath>
              </a14:m>
              <a:r>
                <a:rPr lang="en-US" sz="1000" b="0"/>
                <a:t>(kvar/phase)</a:t>
              </a:r>
            </a:p>
          </xdr:txBody>
        </xdr:sp>
      </mc:Choice>
      <mc:Fallback xmlns="">
        <xdr:sp macro="" textlink="">
          <xdr:nvSpPr>
            <xdr:cNvPr id="6" name="TextBox 5"/>
            <xdr:cNvSpPr txBox="1"/>
          </xdr:nvSpPr>
          <xdr:spPr>
            <a:xfrm>
              <a:off x="4591049" y="7185991"/>
              <a:ext cx="4097408" cy="35163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en-US" sz="1000" b="0" i="0">
                  <a:latin typeface="Cambria Math"/>
                </a:rPr>
                <a:t>〖𝑄_(𝑀𝐴𝐼𝑁 𝑅𝐴𝑇𝐸𝐷 𝑃𝐸𝑅 𝑃𝐻𝐴𝑆𝐸)  </a:t>
              </a:r>
              <a:r>
                <a:rPr lang="en-US" sz="1000" b="0" i="0">
                  <a:latin typeface="Cambria Math"/>
                  <a:ea typeface="Cambria Math"/>
                </a:rPr>
                <a:t>=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(𝑉_(𝐶𝐴𝑃 𝑀𝐴𝐼𝑁 𝑅𝐴𝑇𝐼𝑁𝐺) )^2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Cambria Math"/>
                  <a:cs typeface="+mn-cs"/>
                </a:rPr>
                <a:t>/</a:t>
              </a:r>
              <a:r>
                <a:rPr lang="en-US" sz="1000" b="0" i="0">
                  <a:latin typeface="Cambria Math"/>
                  <a:ea typeface="Cambria Math"/>
                </a:rPr>
                <a:t>𝑋_(𝐶−𝑀𝐴𝐼𝑁) ×1000〗_</a:t>
              </a:r>
              <a:r>
                <a:rPr lang="en-US" sz="1000" b="0"/>
                <a:t>(kvar/phase)</a:t>
              </a:r>
            </a:p>
          </xdr:txBody>
        </xdr:sp>
      </mc:Fallback>
    </mc:AlternateContent>
    <xdr:clientData/>
  </xdr:oneCellAnchor>
  <xdr:oneCellAnchor>
    <xdr:from>
      <xdr:col>8</xdr:col>
      <xdr:colOff>28575</xdr:colOff>
      <xdr:row>13</xdr:row>
      <xdr:rowOff>47625</xdr:rowOff>
    </xdr:from>
    <xdr:ext cx="3076576" cy="35368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200-000007000000}"/>
                </a:ext>
              </a:extLst>
            </xdr:cNvPr>
            <xdr:cNvSpPr txBox="1"/>
          </xdr:nvSpPr>
          <xdr:spPr>
            <a:xfrm>
              <a:off x="6646379" y="3352386"/>
              <a:ext cx="3076576" cy="3536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US" sz="1000" b="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n-US" sz="1000" b="0" i="1">
                          <a:latin typeface="Cambria Math"/>
                        </a:rPr>
                        <m:t>𝐼</m:t>
                      </m:r>
                    </m:e>
                    <m:sub>
                      <m:r>
                        <a:rPr lang="en-US" sz="1000" b="0" i="1">
                          <a:latin typeface="Cambria Math"/>
                        </a:rPr>
                        <m:t>𝑅𝐴𝑇𝐸𝐷</m:t>
                      </m:r>
                      <m:r>
                        <a:rPr lang="en-US" sz="1000" b="0" i="1">
                          <a:latin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</a:rPr>
                        <m:t>𝐹𝑈𝑁𝐷𝐴𝑀𝐸𝑁𝑇𝐴𝐿</m:t>
                      </m:r>
                    </m:sub>
                  </m:sSub>
                  <m:r>
                    <a:rPr lang="en-US" sz="1000" b="0" i="1">
                      <a:latin typeface="Cambria Math"/>
                      <a:ea typeface="Cambria Math"/>
                    </a:rPr>
                    <m:t>= </m:t>
                  </m:r>
                  <m:f>
                    <m:fPr>
                      <m:ctrlPr>
                        <a:rPr lang="en-US" sz="1000" b="0" i="1">
                          <a:latin typeface="Cambria Math" panose="02040503050406030204" pitchFamily="18" charset="0"/>
                          <a:ea typeface="Cambria Math"/>
                        </a:rPr>
                      </m:ctrlPr>
                    </m:fPr>
                    <m:num>
                      <m:sSub>
                        <m:sSubPr>
                          <m:ctrlPr>
                            <a:rPr lang="en-US" sz="10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n-US" sz="10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𝑄</m:t>
                          </m:r>
                        </m:e>
                        <m:sub>
                          <m:r>
                            <a:rPr lang="en-US" sz="10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𝑒𝑓𝑓</m:t>
                          </m:r>
                        </m:sub>
                      </m:sSub>
                    </m:num>
                    <m:den>
                      <m:r>
                        <a:rPr lang="en-US" sz="1000" b="0" i="1">
                          <a:latin typeface="Cambria Math"/>
                          <a:ea typeface="Cambria Math"/>
                        </a:rPr>
                        <m:t>1.73×</m:t>
                      </m:r>
                      <m:sSup>
                        <m:sSupPr>
                          <m:ctrlPr>
                            <a:rPr lang="en-US" sz="1000" b="0" i="1">
                              <a:latin typeface="Cambria Math" panose="02040503050406030204" pitchFamily="18" charset="0"/>
                              <a:ea typeface="Cambria Math"/>
                            </a:rPr>
                          </m:ctrlPr>
                        </m:sSupPr>
                        <m:e>
                          <m:sSub>
                            <m:sSubPr>
                              <m:ctrlPr>
                                <a:rPr lang="en-US" sz="10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n-US" sz="10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𝑘𝑉</m:t>
                              </m:r>
                            </m:e>
                            <m:sub>
                              <m:r>
                                <a:rPr lang="en-US" sz="10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𝐿𝐿𝑆𝑌𝑆</m:t>
                              </m:r>
                            </m:sub>
                          </m:sSub>
                        </m:e>
                        <m:sup/>
                      </m:sSup>
                    </m:den>
                  </m:f>
                  <m:r>
                    <a:rPr lang="en-US" sz="1000" b="0" i="1">
                      <a:latin typeface="Cambria Math"/>
                      <a:ea typeface="Cambria Math"/>
                    </a:rPr>
                    <m:t> </m:t>
                  </m:r>
                </m:oMath>
              </a14:m>
              <a:r>
                <a:rPr lang="en-US" sz="1000" b="0"/>
                <a:t>(amps)</a:t>
              </a:r>
            </a:p>
          </xdr:txBody>
        </xdr:sp>
      </mc:Choice>
      <mc:Fallback xmlns="">
        <xdr:sp macro="" textlink="">
          <xdr:nvSpPr>
            <xdr:cNvPr id="7" name="TextBox 6"/>
            <xdr:cNvSpPr txBox="1"/>
          </xdr:nvSpPr>
          <xdr:spPr>
            <a:xfrm>
              <a:off x="6646379" y="3352386"/>
              <a:ext cx="3076576" cy="3536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en-US" sz="1000" b="0" i="0">
                  <a:latin typeface="Cambria Math"/>
                </a:rPr>
                <a:t>𝐼_(𝑅𝐴𝑇𝐸𝐷 𝐹𝑈𝑁𝐷𝐴𝑀𝐸𝑁𝑇𝐴𝐿)</a:t>
              </a:r>
              <a:r>
                <a:rPr lang="en-US" sz="1000" b="0" i="0">
                  <a:latin typeface="Cambria Math"/>
                  <a:ea typeface="Cambria Math"/>
                </a:rPr>
                <a:t>= 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 𝑄_𝑒𝑓𝑓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Cambria Math"/>
                  <a:cs typeface="+mn-cs"/>
                </a:rPr>
                <a:t>/(</a:t>
              </a:r>
              <a:r>
                <a:rPr lang="en-US" sz="1000" b="0" i="0">
                  <a:latin typeface="Cambria Math"/>
                  <a:ea typeface="Cambria Math"/>
                </a:rPr>
                <a:t>1.73×〖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〖𝑘𝑉〗_𝐿𝐿𝑆𝑌𝑆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Cambria Math"/>
                  <a:cs typeface="+mn-cs"/>
                </a:rPr>
                <a:t>〗^ ) </a:t>
              </a:r>
              <a:r>
                <a:rPr lang="en-US" sz="1000" b="0" i="0">
                  <a:latin typeface="Cambria Math"/>
                  <a:ea typeface="Cambria Math"/>
                </a:rPr>
                <a:t> </a:t>
              </a:r>
              <a:r>
                <a:rPr lang="en-US" sz="1000" b="0"/>
                <a:t>(amps)</a:t>
              </a:r>
            </a:p>
          </xdr:txBody>
        </xdr:sp>
      </mc:Fallback>
    </mc:AlternateContent>
    <xdr:clientData/>
  </xdr:oneCellAnchor>
  <xdr:oneCellAnchor>
    <xdr:from>
      <xdr:col>4</xdr:col>
      <xdr:colOff>800100</xdr:colOff>
      <xdr:row>33</xdr:row>
      <xdr:rowOff>323850</xdr:rowOff>
    </xdr:from>
    <xdr:ext cx="4419599" cy="24885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200-000008000000}"/>
                </a:ext>
              </a:extLst>
            </xdr:cNvPr>
            <xdr:cNvSpPr txBox="1"/>
          </xdr:nvSpPr>
          <xdr:spPr>
            <a:xfrm>
              <a:off x="4600575" y="6934200"/>
              <a:ext cx="4419599" cy="2488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US" sz="1000" b="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m:rPr>
                          <m:sty m:val="p"/>
                        </m:rPr>
                        <a:rPr lang="en-US" sz="1000" b="0" i="0">
                          <a:latin typeface="Cambria Math"/>
                        </a:rPr>
                        <m:t>V</m:t>
                      </m:r>
                    </m:e>
                    <m:sub>
                      <m:r>
                        <m:rPr>
                          <m:sty m:val="p"/>
                        </m:rPr>
                        <a:rPr lang="en-US" sz="1000" b="0" i="0">
                          <a:latin typeface="Cambria Math"/>
                        </a:rPr>
                        <m:t>CAP</m:t>
                      </m:r>
                      <m:r>
                        <a:rPr lang="en-US" sz="1000" b="0" i="0">
                          <a:latin typeface="Cambria Math"/>
                        </a:rPr>
                        <m:t> </m:t>
                      </m:r>
                      <m:r>
                        <m:rPr>
                          <m:sty m:val="p"/>
                        </m:rPr>
                        <a:rPr lang="en-US" sz="1000" b="0" i="0">
                          <a:latin typeface="Cambria Math"/>
                        </a:rPr>
                        <m:t>MAIN</m:t>
                      </m:r>
                      <m:r>
                        <a:rPr lang="en-US" sz="1000" b="0" i="0">
                          <a:latin typeface="Cambria Math"/>
                        </a:rPr>
                        <m:t> </m:t>
                      </m:r>
                      <m:r>
                        <m:rPr>
                          <m:sty m:val="p"/>
                        </m:rPr>
                        <a:rPr lang="en-US" sz="1000" b="0" i="0">
                          <a:latin typeface="Cambria Math"/>
                        </a:rPr>
                        <m:t>FUNDAMENTAL</m:t>
                      </m:r>
                      <m:r>
                        <a:rPr lang="en-US" sz="1000" b="0" i="0">
                          <a:latin typeface="Cambria Math"/>
                        </a:rPr>
                        <m:t> </m:t>
                      </m:r>
                      <m:r>
                        <m:rPr>
                          <m:sty m:val="p"/>
                        </m:rPr>
                        <a:rPr lang="en-US" sz="1000" b="0" i="0">
                          <a:latin typeface="Cambria Math"/>
                        </a:rPr>
                        <m:t>VOLTAGE</m:t>
                      </m:r>
                    </m:sub>
                  </m:sSub>
                  <m:r>
                    <a:rPr lang="en-US" sz="1000" b="0" i="0">
                      <a:latin typeface="Cambria Math"/>
                      <a:ea typeface="Cambria Math"/>
                    </a:rPr>
                    <m:t>=</m:t>
                  </m:r>
                  <m:sSub>
                    <m:sSubPr>
                      <m:ctrlPr>
                        <a:rPr lang="en-US" sz="1000" b="0" i="1">
                          <a:latin typeface="Cambria Math" panose="02040503050406030204" pitchFamily="18" charset="0"/>
                          <a:ea typeface="Cambria Math"/>
                        </a:rPr>
                      </m:ctrlPr>
                    </m:sSubPr>
                    <m:e>
                      <m:r>
                        <m:rPr>
                          <m:sty m:val="p"/>
                        </m:rPr>
                        <a:rPr lang="en-US" sz="1000" b="0" i="0">
                          <a:latin typeface="Cambria Math"/>
                          <a:ea typeface="Cambria Math"/>
                        </a:rPr>
                        <m:t>I</m:t>
                      </m:r>
                    </m:e>
                    <m:sub>
                      <m:r>
                        <m:rPr>
                          <m:sty m:val="p"/>
                        </m:rPr>
                        <a:rPr lang="en-US" sz="1000" b="0" i="0">
                          <a:latin typeface="Cambria Math"/>
                          <a:ea typeface="Cambria Math"/>
                        </a:rPr>
                        <m:t>MAIN</m:t>
                      </m:r>
                      <m:r>
                        <a:rPr lang="en-US" sz="1000" b="0" i="0">
                          <a:latin typeface="Cambria Math"/>
                          <a:ea typeface="Cambria Math"/>
                        </a:rPr>
                        <m:t> </m:t>
                      </m:r>
                      <m:r>
                        <m:rPr>
                          <m:sty m:val="p"/>
                        </m:rPr>
                        <a:rPr lang="en-US" sz="1000" b="0" i="0">
                          <a:latin typeface="Cambria Math"/>
                          <a:ea typeface="Cambria Math"/>
                        </a:rPr>
                        <m:t>FUNDAMENTAL</m:t>
                      </m:r>
                    </m:sub>
                  </m:sSub>
                  <m:r>
                    <a:rPr lang="en-US" sz="1000" b="0" i="0">
                      <a:latin typeface="Cambria Math"/>
                      <a:ea typeface="Cambria Math"/>
                    </a:rPr>
                    <m:t>× </m:t>
                  </m:r>
                  <m:sSub>
                    <m:sSubPr>
                      <m:ctrlPr>
                        <a:rPr lang="en-US" sz="1000" b="0" i="1">
                          <a:latin typeface="Cambria Math" panose="02040503050406030204" pitchFamily="18" charset="0"/>
                          <a:ea typeface="Cambria Math"/>
                        </a:rPr>
                      </m:ctrlPr>
                    </m:sSubPr>
                    <m:e>
                      <m:r>
                        <m:rPr>
                          <m:sty m:val="p"/>
                        </m:rPr>
                        <a:rPr lang="en-US" sz="1000" b="0" i="0">
                          <a:latin typeface="Cambria Math"/>
                          <a:ea typeface="Cambria Math"/>
                        </a:rPr>
                        <m:t>X</m:t>
                      </m:r>
                    </m:e>
                    <m:sub>
                      <m:r>
                        <m:rPr>
                          <m:sty m:val="p"/>
                        </m:rPr>
                        <a:rPr lang="en-US" sz="1000" b="0" i="0">
                          <a:latin typeface="Cambria Math"/>
                          <a:ea typeface="Cambria Math"/>
                        </a:rPr>
                        <m:t>C</m:t>
                      </m:r>
                      <m:r>
                        <a:rPr lang="en-US" sz="1000" b="0" i="0">
                          <a:latin typeface="Cambria Math"/>
                          <a:ea typeface="Cambria Math"/>
                        </a:rPr>
                        <m:t>−</m:t>
                      </m:r>
                      <m:r>
                        <m:rPr>
                          <m:sty m:val="p"/>
                        </m:rPr>
                        <a:rPr lang="en-US" sz="1000" b="0" i="0">
                          <a:latin typeface="Cambria Math"/>
                          <a:ea typeface="Cambria Math"/>
                        </a:rPr>
                        <m:t>MAIN</m:t>
                      </m:r>
                    </m:sub>
                  </m:sSub>
                </m:oMath>
              </a14:m>
              <a:r>
                <a:rPr lang="en-US" sz="1000" b="0" i="0"/>
                <a:t>/ 1000 (kV)</a:t>
              </a:r>
            </a:p>
          </xdr:txBody>
        </xdr:sp>
      </mc:Choice>
      <mc:Fallback xmlns="">
        <xdr:sp macro="" textlink="">
          <xdr:nvSpPr>
            <xdr:cNvPr id="8" name="TextBox 7"/>
            <xdr:cNvSpPr txBox="1"/>
          </xdr:nvSpPr>
          <xdr:spPr>
            <a:xfrm>
              <a:off x="4600575" y="6934200"/>
              <a:ext cx="4419599" cy="2488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1000" b="0" i="0">
                  <a:latin typeface="Cambria Math"/>
                </a:rPr>
                <a:t>V_(CAP MAIN FUNDAMENTAL VOLTAGE)</a:t>
              </a:r>
              <a:r>
                <a:rPr lang="en-US" sz="1000" b="0" i="0">
                  <a:latin typeface="Cambria Math"/>
                  <a:ea typeface="Cambria Math"/>
                </a:rPr>
                <a:t>=I_(MAIN FUNDAMENTAL)× X_(C−MAIN)</a:t>
              </a:r>
              <a:r>
                <a:rPr lang="en-US" sz="1000" b="0" i="0"/>
                <a:t>/ 1000 (kV)</a:t>
              </a:r>
            </a:p>
          </xdr:txBody>
        </xdr:sp>
      </mc:Fallback>
    </mc:AlternateContent>
    <xdr:clientData/>
  </xdr:oneCellAnchor>
  <xdr:oneCellAnchor>
    <xdr:from>
      <xdr:col>3</xdr:col>
      <xdr:colOff>85725</xdr:colOff>
      <xdr:row>71</xdr:row>
      <xdr:rowOff>57150</xdr:rowOff>
    </xdr:from>
    <xdr:ext cx="2209800" cy="42383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TextBox 8">
              <a:extLst>
                <a:ext uri="{FF2B5EF4-FFF2-40B4-BE49-F238E27FC236}">
                  <a16:creationId xmlns:a16="http://schemas.microsoft.com/office/drawing/2014/main" id="{00000000-0008-0000-0200-000009000000}"/>
                </a:ext>
              </a:extLst>
            </xdr:cNvPr>
            <xdr:cNvSpPr txBox="1"/>
          </xdr:nvSpPr>
          <xdr:spPr>
            <a:xfrm>
              <a:off x="3181350" y="18545175"/>
              <a:ext cx="2209800" cy="42383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/>
                          </a:rPr>
                          <m:t>𝑉</m:t>
                        </m:r>
                      </m:e>
                      <m:sub>
                        <m:r>
                          <a:rPr lang="en-US" sz="1100" b="0" i="1">
                            <a:latin typeface="Cambria Math"/>
                          </a:rPr>
                          <m:t>𝐶𝐴𝑃</m:t>
                        </m:r>
                        <m:r>
                          <a:rPr lang="en-US" sz="1100" b="0" i="1">
                            <a:latin typeface="Cambria Math"/>
                          </a:rPr>
                          <m:t> </m:t>
                        </m:r>
                        <m:r>
                          <a:rPr lang="en-US" sz="1100" b="0" i="1">
                            <a:latin typeface="Cambria Math"/>
                          </a:rPr>
                          <m:t>𝐻𝐴𝑅𝑀𝑂𝑁𝐼𝐶</m:t>
                        </m:r>
                        <m:r>
                          <a:rPr lang="en-US" sz="1100" b="0" i="1">
                            <a:latin typeface="Cambria Math"/>
                          </a:rPr>
                          <m:t> </m:t>
                        </m:r>
                        <m:r>
                          <a:rPr lang="en-US" sz="1100" b="0" i="1">
                            <a:latin typeface="Cambria Math"/>
                          </a:rPr>
                          <m:t>𝑉𝑂𝐿𝑇𝐴𝐺𝐸</m:t>
                        </m:r>
                      </m:sub>
                    </m:sSub>
                    <m:r>
                      <a:rPr lang="en-US" sz="1100" b="0" i="1">
                        <a:latin typeface="Cambria Math"/>
                        <a:ea typeface="Cambria Math"/>
                      </a:rPr>
                      <m:t>=</m:t>
                    </m:r>
                    <m:f>
                      <m:fPr>
                        <m:ctrlPr>
                          <a:rPr lang="en-US" sz="1100" b="0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𝑋</m:t>
                            </m:r>
                          </m:e>
                          <m:sub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𝐶</m:t>
                            </m:r>
                          </m:sub>
                        </m:sSub>
                      </m:num>
                      <m:den>
                        <m:r>
                          <a:rPr lang="en-US" sz="1100" b="0" i="1">
                            <a:latin typeface="Cambria Math"/>
                            <a:ea typeface="Cambria Math"/>
                          </a:rPr>
                          <m:t>𝑛</m:t>
                        </m:r>
                      </m:den>
                    </m:f>
                    <m:r>
                      <a:rPr lang="en-US" sz="1100" b="0" i="1">
                        <a:latin typeface="Cambria Math"/>
                        <a:ea typeface="Cambria Math"/>
                      </a:rPr>
                      <m:t>×</m:t>
                    </m:r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/>
                            <a:ea typeface="Cambria Math"/>
                          </a:rPr>
                          <m:t>𝐼</m:t>
                        </m:r>
                      </m:e>
                      <m:sub>
                        <m:r>
                          <a:rPr lang="en-US" sz="1100" b="0" i="1">
                            <a:latin typeface="Cambria Math"/>
                            <a:ea typeface="Cambria Math"/>
                          </a:rPr>
                          <m:t>𝑛</m:t>
                        </m:r>
                      </m:sub>
                    </m:sSub>
                  </m:oMath>
                </m:oMathPara>
              </a14:m>
              <a:endParaRPr lang="en-US" sz="1100" b="0"/>
            </a:p>
          </xdr:txBody>
        </xdr:sp>
      </mc:Choice>
      <mc:Fallback xmlns="">
        <xdr:sp macro="" textlink="">
          <xdr:nvSpPr>
            <xdr:cNvPr id="9" name="TextBox 8"/>
            <xdr:cNvSpPr txBox="1"/>
          </xdr:nvSpPr>
          <xdr:spPr>
            <a:xfrm>
              <a:off x="3181350" y="18545175"/>
              <a:ext cx="2209800" cy="42383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en-US" sz="1100" b="0" i="0">
                  <a:latin typeface="Cambria Math"/>
                </a:rPr>
                <a:t>𝑉_(𝐶𝐴𝑃 𝐻𝐴𝑅𝑀𝑂𝑁𝐼𝐶 𝑉𝑂𝐿𝑇𝐴𝐺𝐸)</a:t>
              </a:r>
              <a:r>
                <a:rPr lang="en-US" sz="1100" b="0" i="0">
                  <a:latin typeface="Cambria Math"/>
                  <a:ea typeface="Cambria Math"/>
                </a:rPr>
                <a:t>=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𝑋_𝐶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Cambria Math"/>
                  <a:cs typeface="+mn-cs"/>
                </a:rPr>
                <a:t>/</a:t>
              </a:r>
              <a:r>
                <a:rPr lang="en-US" sz="1100" b="0" i="0">
                  <a:latin typeface="Cambria Math"/>
                  <a:ea typeface="Cambria Math"/>
                </a:rPr>
                <a:t>𝑛×𝐼_𝑛</a:t>
              </a:r>
              <a:endParaRPr lang="en-US" sz="1100" b="0"/>
            </a:p>
          </xdr:txBody>
        </xdr:sp>
      </mc:Fallback>
    </mc:AlternateContent>
    <xdr:clientData/>
  </xdr:oneCellAnchor>
  <xdr:oneCellAnchor>
    <xdr:from>
      <xdr:col>4</xdr:col>
      <xdr:colOff>809625</xdr:colOff>
      <xdr:row>35</xdr:row>
      <xdr:rowOff>32246</xdr:rowOff>
    </xdr:from>
    <xdr:ext cx="4419600" cy="5143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00000000-0008-0000-0200-00000A000000}"/>
                </a:ext>
              </a:extLst>
            </xdr:cNvPr>
            <xdr:cNvSpPr txBox="1"/>
          </xdr:nvSpPr>
          <xdr:spPr>
            <a:xfrm>
              <a:off x="4610100" y="7166471"/>
              <a:ext cx="4419600" cy="5143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14:m>
                <m:oMath xmlns:m="http://schemas.openxmlformats.org/officeDocument/2006/math">
                  <m:sSub>
                    <m:sSubPr>
                      <m:ctrlPr>
                        <a:rPr lang="en-US" sz="1000" b="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n-US" sz="1000" b="0" i="1">
                          <a:latin typeface="Cambria Math"/>
                        </a:rPr>
                        <m:t>𝑉</m:t>
                      </m:r>
                    </m:e>
                    <m:sub>
                      <m:r>
                        <a:rPr lang="en-US" sz="1000" b="0" i="1">
                          <a:latin typeface="Cambria Math"/>
                        </a:rPr>
                        <m:t>𝐶𝐴𝑃</m:t>
                      </m:r>
                      <m:r>
                        <a:rPr lang="en-US" sz="1000" b="0" i="1">
                          <a:latin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</a:rPr>
                        <m:t>𝑀𝐴𝐼𝑁</m:t>
                      </m:r>
                      <m:r>
                        <a:rPr lang="en-US" sz="1000" b="0" i="1">
                          <a:latin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</a:rPr>
                        <m:t>𝑅𝑀𝑆</m:t>
                      </m:r>
                      <m:r>
                        <a:rPr lang="en-US" sz="1000" b="0" i="1">
                          <a:latin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</a:rPr>
                        <m:t>𝑉𝑂𝐿𝑇𝐴𝐺𝐸</m:t>
                      </m:r>
                    </m:sub>
                  </m:sSub>
                  <m:r>
                    <a:rPr lang="en-US" sz="1000" b="0" i="1">
                      <a:latin typeface="Cambria Math"/>
                      <a:ea typeface="Cambria Math"/>
                    </a:rPr>
                    <m:t>=</m:t>
                  </m:r>
                  <m:rad>
                    <m:radPr>
                      <m:degHide m:val="on"/>
                      <m:ctrlPr>
                        <a:rPr lang="en-US" sz="1000" b="0" i="1">
                          <a:latin typeface="Cambria Math" panose="02040503050406030204" pitchFamily="18" charset="0"/>
                          <a:ea typeface="Cambria Math"/>
                        </a:rPr>
                      </m:ctrlPr>
                    </m:radPr>
                    <m:deg/>
                    <m:e>
                      <m:nary>
                        <m:naryPr>
                          <m:chr m:val="∑"/>
                          <m:ctrlPr>
                            <a:rPr lang="en-US" sz="1000" b="0" i="1">
                              <a:latin typeface="Cambria Math" panose="02040503050406030204" pitchFamily="18" charset="0"/>
                              <a:ea typeface="Cambria Math"/>
                            </a:rPr>
                          </m:ctrlPr>
                        </m:naryPr>
                        <m:sub>
                          <m:r>
                            <m:rPr>
                              <m:brk m:alnAt="23"/>
                            </m:rPr>
                            <a:rPr lang="en-US" sz="1000" b="0" i="1">
                              <a:latin typeface="Cambria Math"/>
                              <a:ea typeface="Cambria Math"/>
                            </a:rPr>
                            <m:t>𝑛</m:t>
                          </m:r>
                          <m:r>
                            <a:rPr lang="en-US" sz="1000" b="0" i="1">
                              <a:latin typeface="Cambria Math"/>
                              <a:ea typeface="Cambria Math"/>
                            </a:rPr>
                            <m:t>=1</m:t>
                          </m:r>
                        </m:sub>
                        <m:sup>
                          <m:r>
                            <a:rPr lang="en-US" sz="1000" b="0" i="1">
                              <a:latin typeface="Cambria Math"/>
                              <a:ea typeface="Cambria Math"/>
                            </a:rPr>
                            <m:t>𝑛</m:t>
                          </m:r>
                        </m:sup>
                        <m:e>
                          <m:sSup>
                            <m:sSupPr>
                              <m:ctrlPr>
                                <a:rPr lang="en-US" sz="1000" b="0" i="1">
                                  <a:latin typeface="Cambria Math" panose="02040503050406030204" pitchFamily="18" charset="0"/>
                                  <a:ea typeface="Cambria Math"/>
                                </a:rPr>
                              </m:ctrlPr>
                            </m:sSupPr>
                            <m:e>
                              <m:sSub>
                                <m:sSubPr>
                                  <m:ctrlP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sSubPr>
                                <m:e>
                                  <m: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/>
                                      <a:ea typeface="+mn-ea"/>
                                      <a:cs typeface="+mn-cs"/>
                                    </a:rPr>
                                    <m:t>𝑉</m:t>
                                  </m:r>
                                </m:e>
                                <m:sub>
                                  <m: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/>
                                      <a:ea typeface="+mn-ea"/>
                                      <a:cs typeface="+mn-cs"/>
                                    </a:rPr>
                                    <m:t>𝐶𝐴𝑃</m:t>
                                  </m:r>
                                  <m: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/>
                                      <a:ea typeface="+mn-ea"/>
                                      <a:cs typeface="+mn-cs"/>
                                    </a:rPr>
                                    <m:t> </m:t>
                                  </m:r>
                                  <m: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/>
                                      <a:ea typeface="+mn-ea"/>
                                      <a:cs typeface="+mn-cs"/>
                                    </a:rPr>
                                    <m:t>𝐻𝐴𝑅𝑀𝑂𝑁𝐼𝐶</m:t>
                                  </m:r>
                                  <m: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/>
                                      <a:ea typeface="+mn-ea"/>
                                      <a:cs typeface="+mn-cs"/>
                                    </a:rPr>
                                    <m:t> </m:t>
                                  </m:r>
                                  <m: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/>
                                      <a:ea typeface="+mn-ea"/>
                                      <a:cs typeface="+mn-cs"/>
                                    </a:rPr>
                                    <m:t>𝑉𝑂𝐿𝑇𝐴𝐺𝐸</m:t>
                                  </m:r>
                                  <m: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/>
                                      <a:ea typeface="+mn-ea"/>
                                      <a:cs typeface="+mn-cs"/>
                                    </a:rPr>
                                    <m:t> (</m:t>
                                  </m:r>
                                  <m: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/>
                                      <a:ea typeface="+mn-ea"/>
                                      <a:cs typeface="+mn-cs"/>
                                    </a:rPr>
                                    <m:t>𝑉𝑂𝐿𝑇𝑆</m:t>
                                  </m:r>
                                  <m: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/>
                                      <a:ea typeface="+mn-ea"/>
                                      <a:cs typeface="+mn-cs"/>
                                    </a:rPr>
                                    <m:t>)</m:t>
                                  </m:r>
                                </m:sub>
                              </m:sSub>
                            </m:e>
                            <m:sup>
                              <m:r>
                                <a:rPr lang="en-US" sz="1000" b="0" i="1">
                                  <a:latin typeface="Cambria Math"/>
                                  <a:ea typeface="Cambria Math"/>
                                </a:rPr>
                                <m:t>2</m:t>
                              </m:r>
                            </m:sup>
                          </m:sSup>
                        </m:e>
                      </m:nary>
                    </m:e>
                  </m:rad>
                </m:oMath>
              </a14:m>
              <a:r>
                <a:rPr lang="en-US" sz="1000" b="0"/>
                <a:t> /1000 (kV)</a:t>
              </a:r>
            </a:p>
          </xdr:txBody>
        </xdr:sp>
      </mc:Choice>
      <mc:Fallback xmlns="">
        <xdr:sp macro="" textlink="">
          <xdr:nvSpPr>
            <xdr:cNvPr id="10" name="TextBox 9"/>
            <xdr:cNvSpPr txBox="1"/>
          </xdr:nvSpPr>
          <xdr:spPr>
            <a:xfrm>
              <a:off x="4610100" y="7166471"/>
              <a:ext cx="4419600" cy="5143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:r>
                <a:rPr lang="en-US" sz="1000" b="0" i="0">
                  <a:latin typeface="Cambria Math"/>
                </a:rPr>
                <a:t>𝑉_(𝐶𝐴𝑃 𝑀𝐴𝐼𝑁 𝑅𝑀𝑆 𝑉𝑂𝐿𝑇𝐴𝐺𝐸)</a:t>
              </a:r>
              <a:r>
                <a:rPr lang="en-US" sz="1000" b="0" i="0">
                  <a:latin typeface="Cambria Math"/>
                  <a:ea typeface="Cambria Math"/>
                </a:rPr>
                <a:t>=√(∑_(𝑛=1)^𝑛▒〖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𝑉_(𝐶𝐴𝑃 𝐻𝐴𝑅𝑀𝑂𝑁𝐼𝐶 𝑉𝑂𝐿𝑇𝐴𝐺𝐸 (𝑉𝑂𝐿𝑇𝑆))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Cambria Math"/>
                  <a:cs typeface="+mn-cs"/>
                </a:rPr>
                <a:t>〗^</a:t>
              </a:r>
              <a:r>
                <a:rPr lang="en-US" sz="1000" b="0" i="0">
                  <a:latin typeface="Cambria Math"/>
                  <a:ea typeface="Cambria Math"/>
                </a:rPr>
                <a:t>2 )</a:t>
              </a:r>
              <a:r>
                <a:rPr lang="en-US" sz="1000" b="0"/>
                <a:t> /1000 (kV)</a:t>
              </a:r>
            </a:p>
          </xdr:txBody>
        </xdr:sp>
      </mc:Fallback>
    </mc:AlternateContent>
    <xdr:clientData/>
  </xdr:oneCellAnchor>
  <xdr:oneCellAnchor>
    <xdr:from>
      <xdr:col>4</xdr:col>
      <xdr:colOff>771525</xdr:colOff>
      <xdr:row>35</xdr:row>
      <xdr:rowOff>321129</xdr:rowOff>
    </xdr:from>
    <xdr:ext cx="4486276" cy="47897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TextBox 10">
              <a:extLst>
                <a:ext uri="{FF2B5EF4-FFF2-40B4-BE49-F238E27FC236}">
                  <a16:creationId xmlns:a16="http://schemas.microsoft.com/office/drawing/2014/main" id="{00000000-0008-0000-0200-00000B000000}"/>
                </a:ext>
              </a:extLst>
            </xdr:cNvPr>
            <xdr:cNvSpPr txBox="1"/>
          </xdr:nvSpPr>
          <xdr:spPr>
            <a:xfrm>
              <a:off x="4572000" y="7541079"/>
              <a:ext cx="4486276" cy="47897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0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000" b="0" i="1">
                            <a:latin typeface="Cambria Math"/>
                          </a:rPr>
                          <m:t>𝑉</m:t>
                        </m:r>
                      </m:e>
                      <m:sub>
                        <m:r>
                          <a:rPr lang="en-US" sz="1000" b="0" i="1">
                            <a:latin typeface="Cambria Math"/>
                          </a:rPr>
                          <m:t>𝐶𝐴𝑃</m:t>
                        </m:r>
                        <m:r>
                          <a:rPr lang="en-US" sz="1000" b="0" i="1">
                            <a:latin typeface="Cambria Math"/>
                          </a:rPr>
                          <m:t> </m:t>
                        </m:r>
                        <m:r>
                          <a:rPr lang="en-US" sz="1000" b="0" i="1">
                            <a:latin typeface="Cambria Math"/>
                          </a:rPr>
                          <m:t>𝑀𝐴𝐼𝑁</m:t>
                        </m:r>
                        <m:r>
                          <a:rPr lang="en-US" sz="1000" b="0" i="1">
                            <a:latin typeface="Cambria Math"/>
                          </a:rPr>
                          <m:t> </m:t>
                        </m:r>
                        <m:r>
                          <a:rPr lang="en-US" sz="1000" b="0" i="1">
                            <a:latin typeface="Cambria Math"/>
                          </a:rPr>
                          <m:t>𝑃𝐸𝐴𝐾</m:t>
                        </m:r>
                        <m:r>
                          <a:rPr lang="en-US" sz="1000" b="0" i="1">
                            <a:latin typeface="Cambria Math"/>
                          </a:rPr>
                          <m:t> </m:t>
                        </m:r>
                        <m:r>
                          <a:rPr lang="en-US" sz="1000" b="0" i="1">
                            <a:latin typeface="Cambria Math"/>
                          </a:rPr>
                          <m:t>𝑉𝑂𝐿𝑇𝐴𝐺𝐸</m:t>
                        </m:r>
                      </m:sub>
                    </m:sSub>
                    <m:r>
                      <a:rPr lang="en-US" sz="1000" b="0" i="1">
                        <a:latin typeface="Cambria Math"/>
                        <a:ea typeface="Cambria Math"/>
                      </a:rPr>
                      <m:t>=1.414 ×</m:t>
                    </m:r>
                    <m:nary>
                      <m:naryPr>
                        <m:chr m:val="∑"/>
                        <m:ctrlPr>
                          <a:rPr lang="en-US" sz="10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naryPr>
                      <m:sub>
                        <m:r>
                          <m:rPr>
                            <m:brk m:alnAt="23"/>
                          </m:rPr>
                          <a:rPr lang="en-US" sz="10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𝑛</m:t>
                        </m:r>
                        <m:r>
                          <a:rPr lang="en-US" sz="10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=1</m:t>
                        </m:r>
                      </m:sub>
                      <m:sup>
                        <m:r>
                          <a:rPr lang="en-US" sz="10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𝑛</m:t>
                        </m:r>
                      </m:sup>
                      <m:e>
                        <m:sSup>
                          <m:sSupPr>
                            <m:ctrlPr>
                              <a:rPr lang="en-US" sz="10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sSub>
                              <m:sSubPr>
                                <m:ctrlPr>
                                  <a:rPr lang="en-US" sz="10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sz="10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𝑉</m:t>
                                </m:r>
                              </m:e>
                              <m:sub>
                                <m:r>
                                  <a:rPr lang="en-US" sz="10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𝐶𝐴𝑃</m:t>
                                </m:r>
                                <m:r>
                                  <a:rPr lang="en-US" sz="10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 </m:t>
                                </m:r>
                                <m:r>
                                  <a:rPr lang="en-US" sz="10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𝐻𝐴𝑅𝑀𝑂𝑁𝐼𝐶</m:t>
                                </m:r>
                                <m:r>
                                  <a:rPr lang="en-US" sz="10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 </m:t>
                                </m:r>
                                <m:r>
                                  <a:rPr lang="en-US" sz="10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𝑉𝑂𝐿𝑇𝐴𝐺𝐸</m:t>
                                </m:r>
                              </m:sub>
                            </m:sSub>
                          </m:e>
                          <m:sup/>
                        </m:sSup>
                      </m:e>
                    </m:nary>
                  </m:oMath>
                </m:oMathPara>
              </a14:m>
              <a:endParaRPr lang="en-US" sz="1000" b="0"/>
            </a:p>
          </xdr:txBody>
        </xdr:sp>
      </mc:Choice>
      <mc:Fallback xmlns="">
        <xdr:sp macro="" textlink="">
          <xdr:nvSpPr>
            <xdr:cNvPr id="11" name="TextBox 10"/>
            <xdr:cNvSpPr txBox="1"/>
          </xdr:nvSpPr>
          <xdr:spPr>
            <a:xfrm>
              <a:off x="4572000" y="7541079"/>
              <a:ext cx="4486276" cy="47897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:r>
                <a:rPr lang="en-US" sz="1000" b="0" i="0">
                  <a:latin typeface="Cambria Math"/>
                </a:rPr>
                <a:t>𝑉_(𝐶𝐴𝑃 𝑀𝐴𝐼𝑁 𝑃𝐸𝐴𝐾 𝑉𝑂𝐿𝑇𝐴𝐺𝐸)</a:t>
              </a:r>
              <a:r>
                <a:rPr lang="en-US" sz="1000" b="0" i="0">
                  <a:latin typeface="Cambria Math"/>
                  <a:ea typeface="Cambria Math"/>
                </a:rPr>
                <a:t>=1.414 ×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∑_(𝑛=1)^𝑛▒〖𝑉_(𝐶𝐴𝑃 𝐻𝐴𝑅𝑀𝑂𝑁𝐼𝐶 𝑉𝑂𝐿𝑇𝐴𝐺𝐸)〗^ </a:t>
              </a:r>
              <a:endParaRPr lang="en-US" sz="1000" b="0"/>
            </a:p>
          </xdr:txBody>
        </xdr:sp>
      </mc:Fallback>
    </mc:AlternateContent>
    <xdr:clientData/>
  </xdr:oneCellAnchor>
  <xdr:twoCellAnchor editAs="oneCell">
    <xdr:from>
      <xdr:col>10</xdr:col>
      <xdr:colOff>209550</xdr:colOff>
      <xdr:row>0</xdr:row>
      <xdr:rowOff>50457</xdr:rowOff>
    </xdr:from>
    <xdr:to>
      <xdr:col>11</xdr:col>
      <xdr:colOff>1624749</xdr:colOff>
      <xdr:row>2</xdr:row>
      <xdr:rowOff>247651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2843"/>
        <a:stretch/>
      </xdr:blipFill>
      <xdr:spPr>
        <a:xfrm>
          <a:off x="8048625" y="50457"/>
          <a:ext cx="2539149" cy="768694"/>
        </a:xfrm>
        <a:prstGeom prst="rect">
          <a:avLst/>
        </a:prstGeom>
      </xdr:spPr>
    </xdr:pic>
    <xdr:clientData/>
  </xdr:twoCellAnchor>
  <xdr:oneCellAnchor>
    <xdr:from>
      <xdr:col>4</xdr:col>
      <xdr:colOff>800100</xdr:colOff>
      <xdr:row>32</xdr:row>
      <xdr:rowOff>37689</xdr:rowOff>
    </xdr:from>
    <xdr:ext cx="3314699" cy="32919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TextBox 12">
              <a:extLst>
                <a:ext uri="{FF2B5EF4-FFF2-40B4-BE49-F238E27FC236}">
                  <a16:creationId xmlns:a16="http://schemas.microsoft.com/office/drawing/2014/main" id="{00000000-0008-0000-0200-00000D000000}"/>
                </a:ext>
              </a:extLst>
            </xdr:cNvPr>
            <xdr:cNvSpPr txBox="1"/>
          </xdr:nvSpPr>
          <xdr:spPr>
            <a:xfrm>
              <a:off x="4610100" y="8154646"/>
              <a:ext cx="3314699" cy="3291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US" sz="1000" b="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n-US" sz="1000" b="0" i="1">
                          <a:latin typeface="Cambria Math"/>
                        </a:rPr>
                        <m:t>𝐼</m:t>
                      </m:r>
                    </m:e>
                    <m:sub>
                      <m:r>
                        <a:rPr lang="en-US" sz="1000" b="0" i="1">
                          <a:latin typeface="Cambria Math"/>
                        </a:rPr>
                        <m:t>𝐶𝐴𝑃</m:t>
                      </m:r>
                      <m:r>
                        <a:rPr lang="en-US" sz="1000" b="0" i="1">
                          <a:latin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</a:rPr>
                        <m:t>𝑀𝐴𝐼𝑁</m:t>
                      </m:r>
                    </m:sub>
                  </m:sSub>
                  <m:r>
                    <a:rPr lang="en-US" sz="1000" b="0" i="1">
                      <a:latin typeface="Cambria Math"/>
                      <a:ea typeface="Cambria Math"/>
                    </a:rPr>
                    <m:t>= </m:t>
                  </m:r>
                  <m:f>
                    <m:fPr>
                      <m:ctrlPr>
                        <a:rPr lang="en-US" sz="1000" b="0" i="1">
                          <a:latin typeface="Cambria Math" panose="02040503050406030204" pitchFamily="18" charset="0"/>
                          <a:ea typeface="Cambria Math"/>
                        </a:rPr>
                      </m:ctrlPr>
                    </m:fPr>
                    <m:num>
                      <m:sSub>
                        <m:sSubPr>
                          <m:ctrlPr>
                            <a:rPr lang="en-US" sz="10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n-US" sz="10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𝐼</m:t>
                          </m:r>
                        </m:e>
                        <m:sub>
                          <m:r>
                            <a:rPr lang="en-US" sz="10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𝑅𝐴𝑇𝐸𝐷</m:t>
                          </m:r>
                          <m:r>
                            <a:rPr lang="en-US" sz="10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 </m:t>
                          </m:r>
                          <m:r>
                            <a:rPr lang="en-US" sz="10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𝐹𝑈𝑁𝐷𝐴𝑀𝐸𝑁𝑇𝐴𝐿</m:t>
                          </m:r>
                        </m:sub>
                      </m:sSub>
                    </m:num>
                    <m:den>
                      <m:sSub>
                        <m:sSubPr>
                          <m:ctrlPr>
                            <a:rPr lang="en-US" sz="10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n-US" sz="10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𝑁</m:t>
                          </m:r>
                        </m:e>
                        <m:sub>
                          <m:r>
                            <a:rPr lang="en-US" sz="10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𝑀𝐴𝐼𝑁</m:t>
                          </m:r>
                        </m:sub>
                      </m:sSub>
                    </m:den>
                  </m:f>
                </m:oMath>
              </a14:m>
              <a:r>
                <a:rPr lang="en-US" sz="1000" b="0"/>
                <a:t> (amps/capacitor)</a:t>
              </a:r>
            </a:p>
          </xdr:txBody>
        </xdr:sp>
      </mc:Choice>
      <mc:Fallback xmlns="">
        <xdr:sp macro="" textlink="">
          <xdr:nvSpPr>
            <xdr:cNvPr id="13" name="TextBox 12"/>
            <xdr:cNvSpPr txBox="1"/>
          </xdr:nvSpPr>
          <xdr:spPr>
            <a:xfrm>
              <a:off x="4610100" y="8154646"/>
              <a:ext cx="3314699" cy="3291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en-US" sz="1000" b="0" i="0">
                  <a:latin typeface="Cambria Math"/>
                </a:rPr>
                <a:t>𝐼_(𝐶𝐴𝑃 𝑀𝐴𝐼𝑁)</a:t>
              </a:r>
              <a:r>
                <a:rPr lang="en-US" sz="1000" b="0" i="0">
                  <a:latin typeface="Cambria Math"/>
                  <a:ea typeface="Cambria Math"/>
                </a:rPr>
                <a:t>= 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 𝐼_(𝑅𝐴𝑇𝐸𝐷 𝐹𝑈𝑁𝐷𝐴𝑀𝐸𝑁𝑇𝐴𝐿)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Cambria Math"/>
                  <a:cs typeface="+mn-cs"/>
                </a:rPr>
                <a:t>/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𝑁_𝑀𝐴𝐼𝑁 </a:t>
              </a:r>
              <a:r>
                <a:rPr lang="en-US" sz="1000" b="0"/>
                <a:t> (amps/capacitor)</a:t>
              </a:r>
            </a:p>
          </xdr:txBody>
        </xdr:sp>
      </mc:Fallback>
    </mc:AlternateContent>
    <xdr:clientData/>
  </xdr:oneCellAnchor>
  <xdr:oneCellAnchor>
    <xdr:from>
      <xdr:col>4</xdr:col>
      <xdr:colOff>805961</xdr:colOff>
      <xdr:row>37</xdr:row>
      <xdr:rowOff>48361</xdr:rowOff>
    </xdr:from>
    <xdr:ext cx="2552700" cy="40884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TextBox 13">
              <a:extLst>
                <a:ext uri="{FF2B5EF4-FFF2-40B4-BE49-F238E27FC236}">
                  <a16:creationId xmlns:a16="http://schemas.microsoft.com/office/drawing/2014/main" id="{00000000-0008-0000-0200-00000E000000}"/>
                </a:ext>
              </a:extLst>
            </xdr:cNvPr>
            <xdr:cNvSpPr txBox="1"/>
          </xdr:nvSpPr>
          <xdr:spPr>
            <a:xfrm>
              <a:off x="4606436" y="7944586"/>
              <a:ext cx="2552700" cy="40884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14:m>
                <m:oMath xmlns:m="http://schemas.openxmlformats.org/officeDocument/2006/math">
                  <m:sSub>
                    <m:sSubPr>
                      <m:ctrlPr>
                        <a:rPr lang="en-US" sz="1000" b="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n-US" sz="1000" b="0" i="1">
                          <a:latin typeface="Cambria Math"/>
                        </a:rPr>
                        <m:t>𝐼</m:t>
                      </m:r>
                    </m:e>
                    <m:sub>
                      <m:r>
                        <a:rPr lang="en-US" sz="1000" b="0" i="1">
                          <a:latin typeface="Cambria Math"/>
                        </a:rPr>
                        <m:t>𝐶𝐴𝑃</m:t>
                      </m:r>
                      <m:r>
                        <a:rPr lang="en-US" sz="1000" b="0" i="1">
                          <a:latin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</a:rPr>
                        <m:t>𝑀𝐴𝐼𝑁</m:t>
                      </m:r>
                      <m:r>
                        <a:rPr lang="en-US" sz="1000" b="0" i="1">
                          <a:latin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</a:rPr>
                        <m:t>𝑅𝑀𝑆</m:t>
                      </m:r>
                      <m:r>
                        <a:rPr lang="en-US" sz="1000" b="0" i="1">
                          <a:latin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</a:rPr>
                        <m:t>𝐶𝑈𝑅𝑅𝐸𝑁𝑇</m:t>
                      </m:r>
                    </m:sub>
                  </m:sSub>
                  <m:r>
                    <a:rPr lang="en-US" sz="1000" b="0" i="1">
                      <a:latin typeface="Cambria Math"/>
                      <a:ea typeface="Cambria Math"/>
                    </a:rPr>
                    <m:t>=</m:t>
                  </m:r>
                  <m:rad>
                    <m:radPr>
                      <m:degHide m:val="on"/>
                      <m:ctrlPr>
                        <a:rPr lang="en-US" sz="1000" b="0" i="1">
                          <a:latin typeface="Cambria Math" panose="02040503050406030204" pitchFamily="18" charset="0"/>
                          <a:ea typeface="Cambria Math"/>
                        </a:rPr>
                      </m:ctrlPr>
                    </m:radPr>
                    <m:deg/>
                    <m:e>
                      <m:nary>
                        <m:naryPr>
                          <m:chr m:val="∑"/>
                          <m:ctrlPr>
                            <a:rPr lang="en-US" sz="1000" b="0" i="1">
                              <a:latin typeface="Cambria Math" panose="02040503050406030204" pitchFamily="18" charset="0"/>
                              <a:ea typeface="Cambria Math"/>
                            </a:rPr>
                          </m:ctrlPr>
                        </m:naryPr>
                        <m:sub>
                          <m:r>
                            <m:rPr>
                              <m:brk m:alnAt="23"/>
                            </m:rPr>
                            <a:rPr lang="en-US" sz="1000" b="0" i="1">
                              <a:latin typeface="Cambria Math"/>
                              <a:ea typeface="Cambria Math"/>
                            </a:rPr>
                            <m:t>𝑛</m:t>
                          </m:r>
                          <m:r>
                            <a:rPr lang="en-US" sz="1000" b="0" i="1">
                              <a:latin typeface="Cambria Math"/>
                              <a:ea typeface="Cambria Math"/>
                            </a:rPr>
                            <m:t>=1</m:t>
                          </m:r>
                        </m:sub>
                        <m:sup>
                          <m:r>
                            <a:rPr lang="en-US" sz="1000" b="0" i="1">
                              <a:latin typeface="Cambria Math"/>
                              <a:ea typeface="Cambria Math"/>
                            </a:rPr>
                            <m:t>𝑛</m:t>
                          </m:r>
                        </m:sup>
                        <m:e>
                          <m:sSubSup>
                            <m:sSubSupPr>
                              <m:ctrlPr>
                                <a:rPr lang="en-US" sz="1000" b="0" i="1">
                                  <a:latin typeface="Cambria Math" panose="02040503050406030204" pitchFamily="18" charset="0"/>
                                  <a:ea typeface="Cambria Math"/>
                                </a:rPr>
                              </m:ctrlPr>
                            </m:sSubSupPr>
                            <m:e>
                              <m:sSubSup>
                                <m:sSubSupPr>
                                  <m:ctrlPr>
                                    <a:rPr lang="en-US" sz="1000" b="0" i="1">
                                      <a:latin typeface="Cambria Math" panose="02040503050406030204" pitchFamily="18" charset="0"/>
                                      <a:ea typeface="Cambria Math"/>
                                    </a:rPr>
                                  </m:ctrlPr>
                                </m:sSubSupPr>
                                <m:e>
                                  <m:r>
                                    <a:rPr lang="en-US" sz="1000" b="0" i="1">
                                      <a:latin typeface="Cambria Math"/>
                                      <a:ea typeface="Cambria Math"/>
                                    </a:rPr>
                                    <m:t>𝐼</m:t>
                                  </m:r>
                                </m:e>
                                <m:sub>
                                  <m:r>
                                    <a:rPr lang="en-US" sz="1000" b="0" i="1">
                                      <a:latin typeface="Cambria Math"/>
                                      <a:ea typeface="Cambria Math"/>
                                    </a:rPr>
                                    <m:t>𝑛</m:t>
                                  </m:r>
                                </m:sub>
                                <m:sup/>
                              </m:sSubSup>
                            </m:e>
                            <m:sub/>
                            <m:sup>
                              <m:r>
                                <a:rPr lang="en-US" sz="1000" b="0" i="1">
                                  <a:latin typeface="Cambria Math"/>
                                  <a:ea typeface="Cambria Math"/>
                                </a:rPr>
                                <m:t>2</m:t>
                              </m:r>
                            </m:sup>
                          </m:sSubSup>
                        </m:e>
                      </m:nary>
                    </m:e>
                  </m:rad>
                </m:oMath>
              </a14:m>
              <a:r>
                <a:rPr lang="en-US" sz="1000" b="0"/>
                <a:t> /N</a:t>
              </a:r>
            </a:p>
          </xdr:txBody>
        </xdr:sp>
      </mc:Choice>
      <mc:Fallback xmlns="">
        <xdr:sp macro="" textlink="">
          <xdr:nvSpPr>
            <xdr:cNvPr id="14" name="TextBox 13"/>
            <xdr:cNvSpPr txBox="1"/>
          </xdr:nvSpPr>
          <xdr:spPr>
            <a:xfrm>
              <a:off x="4606436" y="7944586"/>
              <a:ext cx="2552700" cy="40884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:r>
                <a:rPr lang="en-US" sz="1000" b="0" i="0">
                  <a:latin typeface="Cambria Math"/>
                </a:rPr>
                <a:t>𝐼_(𝐶𝐴𝑃 𝑀𝐴𝐼𝑁 𝑅𝑀𝑆 𝐶𝑈𝑅𝑅𝐸𝑁𝑇)</a:t>
              </a:r>
              <a:r>
                <a:rPr lang="en-US" sz="1000" b="0" i="0">
                  <a:latin typeface="Cambria Math"/>
                  <a:ea typeface="Cambria Math"/>
                </a:rPr>
                <a:t>=√(∑_(𝑛=1)^𝑛▒〖𝐼_𝑛^ 〗_^2 )</a:t>
              </a:r>
              <a:r>
                <a:rPr lang="en-US" sz="1000" b="0"/>
                <a:t> /N</a:t>
              </a:r>
            </a:p>
          </xdr:txBody>
        </xdr:sp>
      </mc:Fallback>
    </mc:AlternateContent>
    <xdr:clientData/>
  </xdr:oneCellAnchor>
  <xdr:oneCellAnchor>
    <xdr:from>
      <xdr:col>5</xdr:col>
      <xdr:colOff>5129</xdr:colOff>
      <xdr:row>13</xdr:row>
      <xdr:rowOff>70337</xdr:rowOff>
    </xdr:from>
    <xdr:ext cx="2552700" cy="51288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TextBox 14">
              <a:extLst>
                <a:ext uri="{FF2B5EF4-FFF2-40B4-BE49-F238E27FC236}">
                  <a16:creationId xmlns:a16="http://schemas.microsoft.com/office/drawing/2014/main" id="{00000000-0008-0000-0200-00000F000000}"/>
                </a:ext>
              </a:extLst>
            </xdr:cNvPr>
            <xdr:cNvSpPr txBox="1"/>
          </xdr:nvSpPr>
          <xdr:spPr>
            <a:xfrm>
              <a:off x="4634279" y="2670662"/>
              <a:ext cx="2552700" cy="5128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14:m>
                <m:oMath xmlns:m="http://schemas.openxmlformats.org/officeDocument/2006/math">
                  <m:sSub>
                    <m:sSubPr>
                      <m:ctrlPr>
                        <a:rPr lang="en-US" sz="1000" b="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n-US" sz="1000" b="0" i="1">
                          <a:latin typeface="Cambria Math"/>
                        </a:rPr>
                        <m:t>𝐼</m:t>
                      </m:r>
                    </m:e>
                    <m:sub>
                      <m:r>
                        <a:rPr lang="en-US" sz="1000" b="0" i="1">
                          <a:latin typeface="Cambria Math"/>
                        </a:rPr>
                        <m:t>𝐹𝐼𝐿𝑇𝐸𝑅</m:t>
                      </m:r>
                      <m:r>
                        <a:rPr lang="en-US" sz="1000" b="0" i="1">
                          <a:latin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</a:rPr>
                        <m:t>𝑅𝑀𝑆</m:t>
                      </m:r>
                      <m:r>
                        <a:rPr lang="en-US" sz="1000" b="0" i="1">
                          <a:latin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</a:rPr>
                        <m:t>𝐶𝑈𝑅𝑅𝐸𝑁𝑇</m:t>
                      </m:r>
                    </m:sub>
                  </m:sSub>
                  <m:r>
                    <a:rPr lang="en-US" sz="1000" b="0" i="1">
                      <a:latin typeface="Cambria Math"/>
                      <a:ea typeface="Cambria Math"/>
                    </a:rPr>
                    <m:t>=</m:t>
                  </m:r>
                  <m:rad>
                    <m:radPr>
                      <m:degHide m:val="on"/>
                      <m:ctrlPr>
                        <a:rPr lang="en-US" sz="1000" b="0" i="1">
                          <a:latin typeface="Cambria Math" panose="02040503050406030204" pitchFamily="18" charset="0"/>
                          <a:ea typeface="Cambria Math"/>
                        </a:rPr>
                      </m:ctrlPr>
                    </m:radPr>
                    <m:deg/>
                    <m:e>
                      <m:nary>
                        <m:naryPr>
                          <m:chr m:val="∑"/>
                          <m:ctrlPr>
                            <a:rPr lang="en-US" sz="1000" b="0" i="1">
                              <a:latin typeface="Cambria Math" panose="02040503050406030204" pitchFamily="18" charset="0"/>
                              <a:ea typeface="Cambria Math"/>
                            </a:rPr>
                          </m:ctrlPr>
                        </m:naryPr>
                        <m:sub>
                          <m:r>
                            <m:rPr>
                              <m:brk m:alnAt="23"/>
                            </m:rPr>
                            <a:rPr lang="en-US" sz="1000" b="0" i="1">
                              <a:latin typeface="Cambria Math"/>
                              <a:ea typeface="Cambria Math"/>
                            </a:rPr>
                            <m:t>𝑛</m:t>
                          </m:r>
                          <m:r>
                            <a:rPr lang="en-US" sz="1000" b="0" i="1">
                              <a:latin typeface="Cambria Math"/>
                              <a:ea typeface="Cambria Math"/>
                            </a:rPr>
                            <m:t>=1</m:t>
                          </m:r>
                        </m:sub>
                        <m:sup>
                          <m:r>
                            <a:rPr lang="en-US" sz="1000" b="0" i="1">
                              <a:latin typeface="Cambria Math"/>
                              <a:ea typeface="Cambria Math"/>
                            </a:rPr>
                            <m:t>𝑛</m:t>
                          </m:r>
                        </m:sup>
                        <m:e>
                          <m:sSubSup>
                            <m:sSubSupPr>
                              <m:ctrlPr>
                                <a:rPr lang="en-US" sz="1000" b="0" i="1">
                                  <a:latin typeface="Cambria Math" panose="02040503050406030204" pitchFamily="18" charset="0"/>
                                  <a:ea typeface="Cambria Math"/>
                                </a:rPr>
                              </m:ctrlPr>
                            </m:sSubSupPr>
                            <m:e>
                              <m:sSubSup>
                                <m:sSubSupPr>
                                  <m:ctrlPr>
                                    <a:rPr lang="en-US" sz="1000" b="0" i="1">
                                      <a:latin typeface="Cambria Math" panose="02040503050406030204" pitchFamily="18" charset="0"/>
                                      <a:ea typeface="Cambria Math"/>
                                    </a:rPr>
                                  </m:ctrlPr>
                                </m:sSubSupPr>
                                <m:e>
                                  <m:r>
                                    <a:rPr lang="en-US" sz="1000" b="0" i="1">
                                      <a:latin typeface="Cambria Math"/>
                                      <a:ea typeface="Cambria Math"/>
                                    </a:rPr>
                                    <m:t>𝐼</m:t>
                                  </m:r>
                                </m:e>
                                <m:sub>
                                  <m:r>
                                    <a:rPr lang="en-US" sz="1000" b="0" i="1">
                                      <a:latin typeface="Cambria Math"/>
                                      <a:ea typeface="Cambria Math"/>
                                    </a:rPr>
                                    <m:t>𝑛</m:t>
                                  </m:r>
                                </m:sub>
                                <m:sup/>
                              </m:sSubSup>
                            </m:e>
                            <m:sub/>
                            <m:sup>
                              <m:r>
                                <a:rPr lang="en-US" sz="1000" b="0" i="1">
                                  <a:latin typeface="Cambria Math"/>
                                  <a:ea typeface="Cambria Math"/>
                                </a:rPr>
                                <m:t>2</m:t>
                              </m:r>
                            </m:sup>
                          </m:sSubSup>
                        </m:e>
                      </m:nary>
                    </m:e>
                  </m:rad>
                </m:oMath>
              </a14:m>
              <a:r>
                <a:rPr lang="en-US" sz="1000" b="0"/>
                <a:t> </a:t>
              </a:r>
            </a:p>
          </xdr:txBody>
        </xdr:sp>
      </mc:Choice>
      <mc:Fallback xmlns="">
        <xdr:sp macro="" textlink="">
          <xdr:nvSpPr>
            <xdr:cNvPr id="15" name="TextBox 14"/>
            <xdr:cNvSpPr txBox="1"/>
          </xdr:nvSpPr>
          <xdr:spPr>
            <a:xfrm>
              <a:off x="4634279" y="2670662"/>
              <a:ext cx="2552700" cy="5128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:r>
                <a:rPr lang="en-US" sz="1000" b="0" i="0">
                  <a:latin typeface="Cambria Math"/>
                </a:rPr>
                <a:t>𝐼_(𝐹𝐼𝐿𝑇𝐸𝑅 𝑅𝑀𝑆 𝐶𝑈𝑅𝑅𝐸𝑁𝑇)</a:t>
              </a:r>
              <a:r>
                <a:rPr lang="en-US" sz="1000" b="0" i="0">
                  <a:latin typeface="Cambria Math"/>
                  <a:ea typeface="Cambria Math"/>
                </a:rPr>
                <a:t>=√(∑_(𝑛=1)^𝑛▒〖𝐼_𝑛^ 〗_^2 )</a:t>
              </a:r>
              <a:r>
                <a:rPr lang="en-US" sz="1000" b="0"/>
                <a:t> </a:t>
              </a:r>
            </a:p>
          </xdr:txBody>
        </xdr:sp>
      </mc:Fallback>
    </mc:AlternateContent>
    <xdr:clientData/>
  </xdr:oneCellAnchor>
  <xdr:oneCellAnchor>
    <xdr:from>
      <xdr:col>4</xdr:col>
      <xdr:colOff>781050</xdr:colOff>
      <xdr:row>16</xdr:row>
      <xdr:rowOff>190500</xdr:rowOff>
    </xdr:from>
    <xdr:ext cx="1919079" cy="24885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TextBox 16">
              <a:extLst>
                <a:ext uri="{FF2B5EF4-FFF2-40B4-BE49-F238E27FC236}">
                  <a16:creationId xmlns:a16="http://schemas.microsoft.com/office/drawing/2014/main" id="{00000000-0008-0000-0200-000011000000}"/>
                </a:ext>
              </a:extLst>
            </xdr:cNvPr>
            <xdr:cNvSpPr txBox="1"/>
          </xdr:nvSpPr>
          <xdr:spPr>
            <a:xfrm>
              <a:off x="4591050" y="4157870"/>
              <a:ext cx="1919079" cy="2488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n-US" sz="1000" b="0" i="1">
                      <a:latin typeface="Cambria Math"/>
                    </a:rPr>
                    <m:t>𝑅</m:t>
                  </m:r>
                  <m:r>
                    <a:rPr lang="en-US" sz="1000" b="0" i="1">
                      <a:latin typeface="Cambria Math"/>
                      <a:ea typeface="Cambria Math"/>
                    </a:rPr>
                    <m:t>=</m:t>
                  </m:r>
                  <m:sSub>
                    <m:sSubPr>
                      <m:ctrlPr>
                        <a:rPr lang="en-US" sz="1000" b="0" i="1">
                          <a:latin typeface="Cambria Math" panose="02040503050406030204" pitchFamily="18" charset="0"/>
                          <a:ea typeface="Cambria Math"/>
                        </a:rPr>
                      </m:ctrlPr>
                    </m:sSubPr>
                    <m:e>
                      <m:r>
                        <a:rPr lang="en-US" sz="1000" b="0" i="1">
                          <a:latin typeface="Cambria Math"/>
                          <a:ea typeface="Cambria Math"/>
                        </a:rPr>
                        <m:t>𝑋</m:t>
                      </m:r>
                    </m:e>
                    <m:sub>
                      <m:r>
                        <a:rPr lang="en-US" sz="1000" b="0" i="1">
                          <a:latin typeface="Cambria Math"/>
                          <a:ea typeface="Cambria Math"/>
                        </a:rPr>
                        <m:t>𝐿</m:t>
                      </m:r>
                    </m:sub>
                  </m:sSub>
                  <m:r>
                    <a:rPr lang="en-US" sz="1000" b="0" i="1">
                      <a:latin typeface="Cambria Math"/>
                      <a:ea typeface="Cambria Math"/>
                    </a:rPr>
                    <m:t>×</m:t>
                  </m:r>
                  <m:r>
                    <a:rPr lang="en-US" sz="1000" b="0" i="1">
                      <a:latin typeface="Cambria Math"/>
                      <a:ea typeface="Cambria Math"/>
                    </a:rPr>
                    <m:t>𝐷𝐹</m:t>
                  </m:r>
                  <m:r>
                    <a:rPr lang="en-US" sz="1000" b="0" i="1">
                      <a:latin typeface="Cambria Math"/>
                      <a:ea typeface="Cambria Math"/>
                    </a:rPr>
                    <m:t>×</m:t>
                  </m:r>
                  <m:r>
                    <a:rPr lang="en-US" sz="1000" b="0" i="1">
                      <a:latin typeface="Cambria Math"/>
                      <a:ea typeface="Cambria Math"/>
                    </a:rPr>
                    <m:t>h</m:t>
                  </m:r>
                </m:oMath>
              </a14:m>
              <a:r>
                <a:rPr lang="en-US" sz="1000"/>
                <a:t> (ohms/phase) </a:t>
              </a:r>
            </a:p>
          </xdr:txBody>
        </xdr:sp>
      </mc:Choice>
      <mc:Fallback xmlns="">
        <xdr:sp macro="" textlink="">
          <xdr:nvSpPr>
            <xdr:cNvPr id="17" name="TextBox 16"/>
            <xdr:cNvSpPr txBox="1"/>
          </xdr:nvSpPr>
          <xdr:spPr>
            <a:xfrm>
              <a:off x="4591050" y="4157870"/>
              <a:ext cx="1919079" cy="2488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1000" b="0" i="0">
                  <a:latin typeface="Cambria Math"/>
                </a:rPr>
                <a:t>𝑅</a:t>
              </a:r>
              <a:r>
                <a:rPr lang="en-US" sz="1000" b="0" i="0">
                  <a:latin typeface="Cambria Math"/>
                  <a:ea typeface="Cambria Math"/>
                </a:rPr>
                <a:t>=𝑋_𝐿×𝐷𝐹×ℎ</a:t>
              </a:r>
              <a:r>
                <a:rPr lang="en-US" sz="1000"/>
                <a:t> (ohms/phase) </a:t>
              </a:r>
            </a:p>
          </xdr:txBody>
        </xdr:sp>
      </mc:Fallback>
    </mc:AlternateContent>
    <xdr:clientData/>
  </xdr:oneCellAnchor>
  <xdr:oneCellAnchor>
    <xdr:from>
      <xdr:col>6</xdr:col>
      <xdr:colOff>9525</xdr:colOff>
      <xdr:row>71</xdr:row>
      <xdr:rowOff>28575</xdr:rowOff>
    </xdr:from>
    <xdr:ext cx="2209800" cy="43890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TextBox 17">
              <a:extLst>
                <a:ext uri="{FF2B5EF4-FFF2-40B4-BE49-F238E27FC236}">
                  <a16:creationId xmlns:a16="http://schemas.microsoft.com/office/drawing/2014/main" id="{00000000-0008-0000-0200-000012000000}"/>
                </a:ext>
              </a:extLst>
            </xdr:cNvPr>
            <xdr:cNvSpPr txBox="1"/>
          </xdr:nvSpPr>
          <xdr:spPr>
            <a:xfrm>
              <a:off x="5372100" y="18516600"/>
              <a:ext cx="2209800" cy="43890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/>
                          </a:rPr>
                          <m:t>𝐼</m:t>
                        </m:r>
                      </m:e>
                      <m:sub>
                        <m:r>
                          <a:rPr lang="en-US" sz="1100" b="0" i="1">
                            <a:latin typeface="Cambria Math"/>
                          </a:rPr>
                          <m:t>𝑅𝐸𝑆𝐼𝑆𝑇𝑂𝑅</m:t>
                        </m:r>
                        <m:r>
                          <a:rPr lang="en-US" sz="1100" b="0" i="1">
                            <a:latin typeface="Cambria Math"/>
                          </a:rPr>
                          <m:t> (</m:t>
                        </m:r>
                        <m:r>
                          <a:rPr lang="en-US" sz="1100" b="0" i="1">
                            <a:latin typeface="Cambria Math"/>
                          </a:rPr>
                          <m:t>𝑛</m:t>
                        </m:r>
                        <m:r>
                          <a:rPr lang="en-US" sz="1100" b="0" i="1">
                            <a:latin typeface="Cambria Math"/>
                          </a:rPr>
                          <m:t>)</m:t>
                        </m:r>
                      </m:sub>
                    </m:sSub>
                    <m:r>
                      <a:rPr lang="en-US" sz="1100" b="0" i="1">
                        <a:latin typeface="Cambria Math"/>
                        <a:ea typeface="Cambria Math"/>
                      </a:rPr>
                      <m:t>=</m:t>
                    </m:r>
                    <m:f>
                      <m:fPr>
                        <m:ctrlPr>
                          <a:rPr lang="en-US" sz="1100" b="0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𝑋</m:t>
                            </m:r>
                          </m:e>
                          <m:sub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𝐿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𝑅</m:t>
                            </m:r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+</m:t>
                            </m:r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𝑗𝑋</m:t>
                            </m:r>
                          </m:e>
                          <m:sub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𝐿</m:t>
                            </m:r>
                          </m:sub>
                        </m:sSub>
                      </m:den>
                    </m:f>
                    <m:r>
                      <a:rPr lang="en-US" sz="1100" b="0" i="1">
                        <a:latin typeface="Cambria Math"/>
                        <a:ea typeface="Cambria Math"/>
                      </a:rPr>
                      <m:t>×</m:t>
                    </m:r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/>
                            <a:ea typeface="Cambria Math"/>
                          </a:rPr>
                          <m:t>𝐼</m:t>
                        </m:r>
                      </m:e>
                      <m:sub>
                        <m:r>
                          <a:rPr lang="en-US" sz="1100" b="0" i="1">
                            <a:latin typeface="Cambria Math"/>
                            <a:ea typeface="Cambria Math"/>
                          </a:rPr>
                          <m:t>𝑛</m:t>
                        </m:r>
                      </m:sub>
                    </m:sSub>
                  </m:oMath>
                </m:oMathPara>
              </a14:m>
              <a:endParaRPr lang="en-US" sz="1100" b="0"/>
            </a:p>
          </xdr:txBody>
        </xdr:sp>
      </mc:Choice>
      <mc:Fallback xmlns="">
        <xdr:sp macro="" textlink="">
          <xdr:nvSpPr>
            <xdr:cNvPr id="18" name="TextBox 17"/>
            <xdr:cNvSpPr txBox="1"/>
          </xdr:nvSpPr>
          <xdr:spPr>
            <a:xfrm>
              <a:off x="5372100" y="18516600"/>
              <a:ext cx="2209800" cy="43890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en-US" sz="1100" b="0" i="0">
                  <a:latin typeface="Cambria Math"/>
                </a:rPr>
                <a:t>𝐼_(𝑅𝐸𝑆𝐼𝑆𝑇𝑂𝑅 (𝑛))</a:t>
              </a:r>
              <a:r>
                <a:rPr lang="en-US" sz="1100" b="0" i="0">
                  <a:latin typeface="Cambria Math"/>
                  <a:ea typeface="Cambria Math"/>
                </a:rPr>
                <a:t>=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𝑋_𝐿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Cambria Math"/>
                  <a:cs typeface="+mn-cs"/>
                </a:rPr>
                <a:t>/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〖𝑅+𝑗𝑋〗_𝐿 </a:t>
              </a:r>
              <a:r>
                <a:rPr lang="en-US" sz="1100" b="0" i="0">
                  <a:latin typeface="Cambria Math"/>
                  <a:ea typeface="Cambria Math"/>
                </a:rPr>
                <a:t>×𝐼_𝑛</a:t>
              </a:r>
              <a:endParaRPr lang="en-US" sz="1100" b="0"/>
            </a:p>
          </xdr:txBody>
        </xdr:sp>
      </mc:Fallback>
    </mc:AlternateContent>
    <xdr:clientData/>
  </xdr:oneCellAnchor>
  <xdr:oneCellAnchor>
    <xdr:from>
      <xdr:col>8</xdr:col>
      <xdr:colOff>485775</xdr:colOff>
      <xdr:row>71</xdr:row>
      <xdr:rowOff>9525</xdr:rowOff>
    </xdr:from>
    <xdr:ext cx="2209800" cy="45461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TextBox 18">
              <a:extLst>
                <a:ext uri="{FF2B5EF4-FFF2-40B4-BE49-F238E27FC236}">
                  <a16:creationId xmlns:a16="http://schemas.microsoft.com/office/drawing/2014/main" id="{00000000-0008-0000-0200-000013000000}"/>
                </a:ext>
              </a:extLst>
            </xdr:cNvPr>
            <xdr:cNvSpPr txBox="1"/>
          </xdr:nvSpPr>
          <xdr:spPr>
            <a:xfrm>
              <a:off x="7086600" y="18497550"/>
              <a:ext cx="2209800" cy="45461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/>
                          </a:rPr>
                          <m:t>𝐼</m:t>
                        </m:r>
                      </m:e>
                      <m:sub>
                        <m:r>
                          <a:rPr lang="en-US" sz="1100" b="0" i="1">
                            <a:latin typeface="Cambria Math"/>
                          </a:rPr>
                          <m:t>𝑅𝐸𝐴𝐶𝑇𝑂𝑅</m:t>
                        </m:r>
                        <m:r>
                          <a:rPr lang="en-US" sz="1100" b="0" i="1">
                            <a:latin typeface="Cambria Math"/>
                          </a:rPr>
                          <m:t> (</m:t>
                        </m:r>
                        <m:r>
                          <a:rPr lang="en-US" sz="1100" b="0" i="1">
                            <a:latin typeface="Cambria Math"/>
                          </a:rPr>
                          <m:t>𝑛</m:t>
                        </m:r>
                        <m:r>
                          <a:rPr lang="en-US" sz="1100" b="0" i="1">
                            <a:latin typeface="Cambria Math"/>
                          </a:rPr>
                          <m:t>)</m:t>
                        </m:r>
                      </m:sub>
                    </m:sSub>
                    <m:r>
                      <a:rPr lang="en-US" sz="1100" b="0" i="1">
                        <a:latin typeface="Cambria Math"/>
                        <a:ea typeface="Cambria Math"/>
                      </a:rPr>
                      <m:t>=</m:t>
                    </m:r>
                    <m:f>
                      <m:fPr>
                        <m:ctrlPr>
                          <a:rPr lang="en-US" sz="1100" b="0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fPr>
                      <m:num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𝑅</m:t>
                        </m:r>
                      </m:num>
                      <m:den>
                        <m:sSub>
                          <m:sSubPr>
                            <m:ctrlP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𝑅</m:t>
                            </m:r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+</m:t>
                            </m:r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𝑗𝑋</m:t>
                            </m:r>
                          </m:e>
                          <m:sub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𝐿</m:t>
                            </m:r>
                          </m:sub>
                        </m:sSub>
                      </m:den>
                    </m:f>
                    <m:r>
                      <a:rPr lang="en-US" sz="1100" b="0" i="1">
                        <a:latin typeface="Cambria Math"/>
                        <a:ea typeface="Cambria Math"/>
                      </a:rPr>
                      <m:t>×</m:t>
                    </m:r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/>
                            <a:ea typeface="Cambria Math"/>
                          </a:rPr>
                          <m:t>𝐼</m:t>
                        </m:r>
                      </m:e>
                      <m:sub>
                        <m:r>
                          <a:rPr lang="en-US" sz="1100" b="0" i="1">
                            <a:latin typeface="Cambria Math"/>
                            <a:ea typeface="Cambria Math"/>
                          </a:rPr>
                          <m:t>𝑛</m:t>
                        </m:r>
                      </m:sub>
                    </m:sSub>
                  </m:oMath>
                </m:oMathPara>
              </a14:m>
              <a:endParaRPr lang="en-US" sz="1100" b="0"/>
            </a:p>
          </xdr:txBody>
        </xdr:sp>
      </mc:Choice>
      <mc:Fallback xmlns="">
        <xdr:sp macro="" textlink="">
          <xdr:nvSpPr>
            <xdr:cNvPr id="19" name="TextBox 18"/>
            <xdr:cNvSpPr txBox="1"/>
          </xdr:nvSpPr>
          <xdr:spPr>
            <a:xfrm>
              <a:off x="7086600" y="18497550"/>
              <a:ext cx="2209800" cy="45461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en-US" sz="1100" b="0" i="0">
                  <a:latin typeface="Cambria Math"/>
                </a:rPr>
                <a:t>𝐼_(𝑅𝐸𝐴𝐶𝑇𝑂𝑅 (𝑛))</a:t>
              </a:r>
              <a:r>
                <a:rPr lang="en-US" sz="1100" b="0" i="0">
                  <a:latin typeface="Cambria Math"/>
                  <a:ea typeface="Cambria Math"/>
                </a:rPr>
                <a:t>=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Cambria Math"/>
                  <a:cs typeface="+mn-cs"/>
                </a:rPr>
                <a:t>/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〖𝑅+𝑗𝑋〗_𝐿 </a:t>
              </a:r>
              <a:r>
                <a:rPr lang="en-US" sz="1100" b="0" i="0">
                  <a:latin typeface="Cambria Math"/>
                  <a:ea typeface="Cambria Math"/>
                </a:rPr>
                <a:t>×𝐼_𝑛</a:t>
              </a:r>
              <a:endParaRPr lang="en-US" sz="1100" b="0"/>
            </a:p>
          </xdr:txBody>
        </xdr:sp>
      </mc:Fallback>
    </mc:AlternateContent>
    <xdr:clientData/>
  </xdr:oneCellAnchor>
  <xdr:oneCellAnchor>
    <xdr:from>
      <xdr:col>9</xdr:col>
      <xdr:colOff>338791</xdr:colOff>
      <xdr:row>16</xdr:row>
      <xdr:rowOff>47625</xdr:rowOff>
    </xdr:from>
    <xdr:ext cx="1880981" cy="51288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TextBox 19">
              <a:extLst>
                <a:ext uri="{FF2B5EF4-FFF2-40B4-BE49-F238E27FC236}">
                  <a16:creationId xmlns:a16="http://schemas.microsoft.com/office/drawing/2014/main" id="{00000000-0008-0000-0200-000014000000}"/>
                </a:ext>
              </a:extLst>
            </xdr:cNvPr>
            <xdr:cNvSpPr txBox="1"/>
          </xdr:nvSpPr>
          <xdr:spPr>
            <a:xfrm>
              <a:off x="7577791" y="4014995"/>
              <a:ext cx="1880981" cy="5128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14:m>
                <m:oMath xmlns:m="http://schemas.openxmlformats.org/officeDocument/2006/math">
                  <m:sSub>
                    <m:sSubPr>
                      <m:ctrlPr>
                        <a:rPr lang="en-US" sz="1000" b="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n-US" sz="1000" b="0" i="1">
                          <a:latin typeface="Cambria Math"/>
                        </a:rPr>
                        <m:t>𝑅</m:t>
                      </m:r>
                    </m:e>
                    <m:sub>
                      <m:r>
                        <a:rPr lang="en-US" sz="1000" b="0" i="1">
                          <a:latin typeface="Cambria Math"/>
                        </a:rPr>
                        <m:t>𝑊</m:t>
                      </m:r>
                    </m:sub>
                  </m:sSub>
                  <m:r>
                    <a:rPr lang="en-US" sz="1000" b="0" i="1">
                      <a:latin typeface="Cambria Math"/>
                      <a:ea typeface="Cambria Math"/>
                    </a:rPr>
                    <m:t>=</m:t>
                  </m:r>
                  <m:f>
                    <m:fPr>
                      <m:ctrlPr>
                        <a:rPr lang="en-US" sz="1000" b="0" i="1">
                          <a:latin typeface="Cambria Math" panose="02040503050406030204" pitchFamily="18" charset="0"/>
                          <a:ea typeface="Cambria Math"/>
                        </a:rPr>
                      </m:ctrlPr>
                    </m:fPr>
                    <m:num>
                      <m:rad>
                        <m:radPr>
                          <m:degHide m:val="on"/>
                          <m:ctrlPr>
                            <a:rPr lang="en-US" sz="1000" b="0" i="1">
                              <a:latin typeface="Cambria Math" panose="02040503050406030204" pitchFamily="18" charset="0"/>
                              <a:ea typeface="Cambria Math"/>
                            </a:rPr>
                          </m:ctrlPr>
                        </m:radPr>
                        <m:deg/>
                        <m:e>
                          <m:nary>
                            <m:naryPr>
                              <m:chr m:val="∑"/>
                              <m:ctrlPr>
                                <a:rPr lang="en-US" sz="1000" b="0" i="1">
                                  <a:latin typeface="Cambria Math" panose="02040503050406030204" pitchFamily="18" charset="0"/>
                                  <a:ea typeface="Cambria Math"/>
                                </a:rPr>
                              </m:ctrlPr>
                            </m:naryPr>
                            <m:sub>
                              <m:r>
                                <m:rPr>
                                  <m:brk m:alnAt="23"/>
                                </m:rPr>
                                <a:rPr lang="en-US" sz="1000" b="0" i="1">
                                  <a:latin typeface="Cambria Math"/>
                                  <a:ea typeface="Cambria Math"/>
                                </a:rPr>
                                <m:t>𝑛</m:t>
                              </m:r>
                              <m:r>
                                <a:rPr lang="en-US" sz="1000" b="0" i="1">
                                  <a:latin typeface="Cambria Math"/>
                                  <a:ea typeface="Cambria Math"/>
                                </a:rPr>
                                <m:t>=1</m:t>
                              </m:r>
                            </m:sub>
                            <m:sup>
                              <m:r>
                                <a:rPr lang="en-US" sz="1000" b="0" i="1">
                                  <a:latin typeface="Cambria Math"/>
                                  <a:ea typeface="Cambria Math"/>
                                </a:rPr>
                                <m:t>𝑛</m:t>
                              </m:r>
                            </m:sup>
                            <m:e>
                              <m:sSubSup>
                                <m:sSubSupPr>
                                  <m:ctrlPr>
                                    <a:rPr lang="en-US" sz="1000" b="0" i="1">
                                      <a:latin typeface="Cambria Math" panose="02040503050406030204" pitchFamily="18" charset="0"/>
                                      <a:ea typeface="Cambria Math"/>
                                    </a:rPr>
                                  </m:ctrlPr>
                                </m:sSubSupPr>
                                <m:e>
                                  <m:sSubSup>
                                    <m:sSubSupPr>
                                      <m:ctrlPr>
                                        <a:rPr lang="en-US" sz="1000" b="0" i="1">
                                          <a:latin typeface="Cambria Math" panose="02040503050406030204" pitchFamily="18" charset="0"/>
                                          <a:ea typeface="Cambria Math"/>
                                        </a:rPr>
                                      </m:ctrlPr>
                                    </m:sSubSupPr>
                                    <m:e>
                                      <m:r>
                                        <a:rPr lang="en-US" sz="1000" b="0" i="1">
                                          <a:latin typeface="Cambria Math"/>
                                          <a:ea typeface="Cambria Math"/>
                                        </a:rPr>
                                        <m:t>𝐼</m:t>
                                      </m:r>
                                    </m:e>
                                    <m:sub>
                                      <m:r>
                                        <a:rPr lang="en-US" sz="1000" b="0" i="1">
                                          <a:latin typeface="Cambria Math"/>
                                          <a:ea typeface="Cambria Math"/>
                                        </a:rPr>
                                        <m:t>𝑛</m:t>
                                      </m:r>
                                    </m:sub>
                                    <m:sup/>
                                  </m:sSubSup>
                                </m:e>
                                <m:sub/>
                                <m:sup>
                                  <m:r>
                                    <a:rPr lang="en-US" sz="1000" b="0" i="1">
                                      <a:latin typeface="Cambria Math"/>
                                      <a:ea typeface="Cambria Math"/>
                                    </a:rPr>
                                    <m:t>2</m:t>
                                  </m:r>
                                </m:sup>
                              </m:sSubSup>
                              <m:r>
                                <a:rPr lang="en-US" sz="1000" b="0" i="1">
                                  <a:latin typeface="Cambria Math"/>
                                  <a:ea typeface="Cambria Math"/>
                                </a:rPr>
                                <m:t>×</m:t>
                              </m:r>
                              <m:r>
                                <a:rPr lang="en-US" sz="1000" b="0" i="1">
                                  <a:latin typeface="Cambria Math"/>
                                  <a:ea typeface="Cambria Math"/>
                                </a:rPr>
                                <m:t>𝑅</m:t>
                              </m:r>
                            </m:e>
                          </m:nary>
                        </m:e>
                      </m:rad>
                    </m:num>
                    <m:den>
                      <m:r>
                        <a:rPr lang="en-US" sz="1000" b="0" i="1">
                          <a:latin typeface="Cambria Math"/>
                          <a:ea typeface="Cambria Math"/>
                        </a:rPr>
                        <m:t>1000</m:t>
                      </m:r>
                    </m:den>
                  </m:f>
                </m:oMath>
              </a14:m>
              <a:r>
                <a:rPr lang="en-US" sz="1000" b="0"/>
                <a:t> (kW/Phase) </a:t>
              </a:r>
            </a:p>
          </xdr:txBody>
        </xdr:sp>
      </mc:Choice>
      <mc:Fallback xmlns="">
        <xdr:sp macro="" textlink="">
          <xdr:nvSpPr>
            <xdr:cNvPr id="20" name="TextBox 19"/>
            <xdr:cNvSpPr txBox="1"/>
          </xdr:nvSpPr>
          <xdr:spPr>
            <a:xfrm>
              <a:off x="7577791" y="4014995"/>
              <a:ext cx="1880981" cy="5128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:r>
                <a:rPr lang="en-US" sz="1000" b="0" i="0">
                  <a:latin typeface="Cambria Math"/>
                </a:rPr>
                <a:t>𝑅_𝑊</a:t>
              </a:r>
              <a:r>
                <a:rPr lang="en-US" sz="1000" b="0" i="0">
                  <a:latin typeface="Cambria Math"/>
                  <a:ea typeface="Cambria Math"/>
                </a:rPr>
                <a:t>=√(∑_(𝑛=1)^𝑛▒〖〖𝐼_𝑛^ 〗_^2×𝑅〗)/1000</a:t>
              </a:r>
              <a:r>
                <a:rPr lang="en-US" sz="1000" b="0"/>
                <a:t> (kW/Phase) </a:t>
              </a:r>
            </a:p>
          </xdr:txBody>
        </xdr:sp>
      </mc:Fallback>
    </mc:AlternateContent>
    <xdr:clientData/>
  </xdr:oneCellAnchor>
  <xdr:oneCellAnchor>
    <xdr:from>
      <xdr:col>4</xdr:col>
      <xdr:colOff>790575</xdr:colOff>
      <xdr:row>21</xdr:row>
      <xdr:rowOff>161925</xdr:rowOff>
    </xdr:from>
    <xdr:ext cx="1552575" cy="24885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" name="TextBox 20">
              <a:extLst>
                <a:ext uri="{FF2B5EF4-FFF2-40B4-BE49-F238E27FC236}">
                  <a16:creationId xmlns:a16="http://schemas.microsoft.com/office/drawing/2014/main" id="{00000000-0008-0000-0200-000015000000}"/>
                </a:ext>
              </a:extLst>
            </xdr:cNvPr>
            <xdr:cNvSpPr txBox="1"/>
          </xdr:nvSpPr>
          <xdr:spPr>
            <a:xfrm>
              <a:off x="4591050" y="4286250"/>
              <a:ext cx="1552575" cy="2488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US" sz="1000" b="0" i="1">
                          <a:latin typeface="Cambria Math" panose="02040503050406030204" pitchFamily="18" charset="0"/>
                          <a:ea typeface="Cambria Math"/>
                        </a:rPr>
                      </m:ctrlPr>
                    </m:sSubPr>
                    <m:e>
                      <m:r>
                        <a:rPr lang="en-US" sz="1000" b="0" i="1">
                          <a:latin typeface="Cambria Math"/>
                          <a:ea typeface="Cambria Math"/>
                        </a:rPr>
                        <m:t>𝑋</m:t>
                      </m:r>
                    </m:e>
                    <m:sub>
                      <m:r>
                        <a:rPr lang="en-US" sz="1000" b="0" i="1">
                          <a:latin typeface="Cambria Math"/>
                          <a:ea typeface="Cambria Math"/>
                        </a:rPr>
                        <m:t>𝐶</m:t>
                      </m:r>
                      <m:r>
                        <a:rPr lang="en-US" sz="1000" b="0" i="1">
                          <a:latin typeface="Cambria Math"/>
                          <a:ea typeface="Cambria Math"/>
                        </a:rPr>
                        <m:t>−</m:t>
                      </m:r>
                      <m:r>
                        <a:rPr lang="en-US" sz="1000" b="0" i="1">
                          <a:latin typeface="Cambria Math"/>
                          <a:ea typeface="Cambria Math"/>
                        </a:rPr>
                        <m:t>𝐴𝑈𝑋</m:t>
                      </m:r>
                    </m:sub>
                  </m:sSub>
                  <m:r>
                    <a:rPr lang="en-US" sz="1000" b="0" i="1">
                      <a:latin typeface="Cambria Math"/>
                      <a:ea typeface="Cambria Math"/>
                    </a:rPr>
                    <m:t>=</m:t>
                  </m:r>
                  <m:sSub>
                    <m:sSubPr>
                      <m:ctrlPr>
                        <a:rPr lang="en-US" sz="1000" b="0" i="1">
                          <a:latin typeface="Cambria Math" panose="02040503050406030204" pitchFamily="18" charset="0"/>
                          <a:ea typeface="Cambria Math"/>
                        </a:rPr>
                      </m:ctrlPr>
                    </m:sSubPr>
                    <m:e>
                      <m:r>
                        <a:rPr lang="en-US" sz="1000" b="0" i="1">
                          <a:latin typeface="Cambria Math"/>
                          <a:ea typeface="Cambria Math"/>
                        </a:rPr>
                        <m:t>𝑋</m:t>
                      </m:r>
                    </m:e>
                    <m:sub>
                      <m:r>
                        <a:rPr lang="en-US" sz="1000" b="0" i="1">
                          <a:latin typeface="Cambria Math"/>
                          <a:ea typeface="Cambria Math"/>
                        </a:rPr>
                        <m:t>𝐿</m:t>
                      </m:r>
                    </m:sub>
                  </m:sSub>
                </m:oMath>
              </a14:m>
              <a:r>
                <a:rPr lang="en-US" sz="1000"/>
                <a:t>  (ohms)</a:t>
              </a:r>
            </a:p>
          </xdr:txBody>
        </xdr:sp>
      </mc:Choice>
      <mc:Fallback xmlns="">
        <xdr:sp macro="" textlink="">
          <xdr:nvSpPr>
            <xdr:cNvPr id="21" name="TextBox 20"/>
            <xdr:cNvSpPr txBox="1"/>
          </xdr:nvSpPr>
          <xdr:spPr>
            <a:xfrm>
              <a:off x="4591050" y="4286250"/>
              <a:ext cx="1552575" cy="2488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1000" b="0" i="0">
                  <a:latin typeface="Cambria Math"/>
                  <a:ea typeface="Cambria Math"/>
                </a:rPr>
                <a:t>𝑋_(𝐶−𝐴𝑈𝑋)=𝑋_𝐿</a:t>
              </a:r>
              <a:r>
                <a:rPr lang="en-US" sz="1000"/>
                <a:t>  (ohms)</a:t>
              </a:r>
            </a:p>
          </xdr:txBody>
        </xdr:sp>
      </mc:Fallback>
    </mc:AlternateContent>
    <xdr:clientData/>
  </xdr:oneCellAnchor>
  <xdr:oneCellAnchor>
    <xdr:from>
      <xdr:col>4</xdr:col>
      <xdr:colOff>790575</xdr:colOff>
      <xdr:row>22</xdr:row>
      <xdr:rowOff>180975</xdr:rowOff>
    </xdr:from>
    <xdr:ext cx="1801882" cy="34830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TextBox 21">
              <a:extLst>
                <a:ext uri="{FF2B5EF4-FFF2-40B4-BE49-F238E27FC236}">
                  <a16:creationId xmlns:a16="http://schemas.microsoft.com/office/drawing/2014/main" id="{00000000-0008-0000-0200-000016000000}"/>
                </a:ext>
              </a:extLst>
            </xdr:cNvPr>
            <xdr:cNvSpPr txBox="1"/>
          </xdr:nvSpPr>
          <xdr:spPr>
            <a:xfrm>
              <a:off x="4600575" y="5440432"/>
              <a:ext cx="1801882" cy="3483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US" sz="1000" b="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sSub>
                        <m:sSubPr>
                          <m:ctrlPr>
                            <a:rPr lang="en-US" sz="1000" b="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n-US" sz="1000" b="0" i="1">
                              <a:latin typeface="Cambria Math"/>
                            </a:rPr>
                            <m:t>𝑋</m:t>
                          </m:r>
                        </m:e>
                        <m:sub>
                          <m:r>
                            <a:rPr lang="en-US" sz="1000" b="0" i="1">
                              <a:latin typeface="Cambria Math"/>
                            </a:rPr>
                            <m:t>𝐿</m:t>
                          </m:r>
                        </m:sub>
                      </m:sSub>
                      <m:r>
                        <a:rPr lang="en-US" sz="1000" b="0" i="1">
                          <a:latin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  <a:ea typeface="Cambria Math"/>
                        </a:rPr>
                        <m:t>=</m:t>
                      </m:r>
                      <m:f>
                        <m:fPr>
                          <m:ctrlPr>
                            <a:rPr lang="en-US" sz="1000" b="0" i="1">
                              <a:latin typeface="Cambria Math" panose="02040503050406030204" pitchFamily="18" charset="0"/>
                              <a:ea typeface="Cambria Math"/>
                            </a:rPr>
                          </m:ctrlPr>
                        </m:fPr>
                        <m:num>
                          <m:sSub>
                            <m:sSubPr>
                              <m:ctrlPr>
                                <a:rPr lang="en-US" sz="1000" b="0" i="1">
                                  <a:latin typeface="Cambria Math" panose="02040503050406030204" pitchFamily="18" charset="0"/>
                                  <a:ea typeface="Cambria Math"/>
                                </a:rPr>
                              </m:ctrlPr>
                            </m:sSubPr>
                            <m:e>
                              <m:r>
                                <a:rPr lang="en-US" sz="1000" b="0" i="1">
                                  <a:latin typeface="Cambria Math"/>
                                  <a:ea typeface="Cambria Math"/>
                                </a:rPr>
                                <m:t>𝑥</m:t>
                              </m:r>
                            </m:e>
                            <m:sub>
                              <m:r>
                                <a:rPr lang="en-US" sz="1000" b="0" i="1">
                                  <a:latin typeface="Cambria Math"/>
                                  <a:ea typeface="Cambria Math"/>
                                </a:rPr>
                                <m:t>𝑒𝑓𝑓</m:t>
                              </m:r>
                            </m:sub>
                          </m:sSub>
                        </m:num>
                        <m:den>
                          <m:sSup>
                            <m:sSupPr>
                              <m:ctrlPr>
                                <a:rPr lang="en-US" sz="10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pPr>
                            <m:e>
                              <m:r>
                                <a:rPr lang="en-US" sz="10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(</m:t>
                              </m:r>
                              <m:r>
                                <a:rPr lang="en-US" sz="10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h</m:t>
                              </m:r>
                            </m:e>
                            <m:sup>
                              <m:r>
                                <a:rPr lang="en-US" sz="10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2</m:t>
                              </m:r>
                            </m:sup>
                          </m:sSup>
                          <m:r>
                            <a:rPr lang="en-US" sz="10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−1)</m:t>
                          </m:r>
                        </m:den>
                      </m:f>
                    </m:e>
                    <m:sub/>
                  </m:sSub>
                </m:oMath>
              </a14:m>
              <a:r>
                <a:rPr lang="en-US" sz="1000" b="0"/>
                <a:t>(ohms)</a:t>
              </a:r>
            </a:p>
          </xdr:txBody>
        </xdr:sp>
      </mc:Choice>
      <mc:Fallback xmlns="">
        <xdr:sp macro="" textlink="">
          <xdr:nvSpPr>
            <xdr:cNvPr id="22" name="TextBox 21"/>
            <xdr:cNvSpPr txBox="1"/>
          </xdr:nvSpPr>
          <xdr:spPr>
            <a:xfrm>
              <a:off x="4600575" y="5440432"/>
              <a:ext cx="1801882" cy="3483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en-US" sz="1000" b="0" i="0">
                  <a:latin typeface="Cambria Math"/>
                </a:rPr>
                <a:t>〖𝑋_𝐿  </a:t>
              </a:r>
              <a:r>
                <a:rPr lang="en-US" sz="1000" b="0" i="0">
                  <a:latin typeface="Cambria Math"/>
                  <a:ea typeface="Cambria Math"/>
                </a:rPr>
                <a:t>=𝑥_𝑒𝑓𝑓/(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〖(ℎ〗^2−1)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Cambria Math"/>
                  <a:cs typeface="+mn-cs"/>
                </a:rPr>
                <a:t>)〗_</a:t>
              </a:r>
              <a:r>
                <a:rPr lang="en-US" sz="1000" b="0"/>
                <a:t>(ohms)</a:t>
              </a:r>
            </a:p>
          </xdr:txBody>
        </xdr:sp>
      </mc:Fallback>
    </mc:AlternateContent>
    <xdr:clientData/>
  </xdr:oneCellAnchor>
  <xdr:oneCellAnchor>
    <xdr:from>
      <xdr:col>4</xdr:col>
      <xdr:colOff>809626</xdr:colOff>
      <xdr:row>20</xdr:row>
      <xdr:rowOff>114300</xdr:rowOff>
    </xdr:from>
    <xdr:ext cx="1807678" cy="25872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TextBox 22">
              <a:extLst>
                <a:ext uri="{FF2B5EF4-FFF2-40B4-BE49-F238E27FC236}">
                  <a16:creationId xmlns:a16="http://schemas.microsoft.com/office/drawing/2014/main" id="{00000000-0008-0000-0200-000017000000}"/>
                </a:ext>
              </a:extLst>
            </xdr:cNvPr>
            <xdr:cNvSpPr txBox="1"/>
          </xdr:nvSpPr>
          <xdr:spPr>
            <a:xfrm>
              <a:off x="4619626" y="4959626"/>
              <a:ext cx="1807678" cy="25872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US" sz="1000" b="0" i="1">
                          <a:latin typeface="Cambria Math" panose="02040503050406030204" pitchFamily="18" charset="0"/>
                          <a:ea typeface="Cambria Math"/>
                        </a:rPr>
                      </m:ctrlPr>
                    </m:sSubPr>
                    <m:e>
                      <m:r>
                        <a:rPr lang="en-US" sz="1000" b="0" i="1">
                          <a:latin typeface="Cambria Math"/>
                          <a:ea typeface="Cambria Math"/>
                        </a:rPr>
                        <m:t>𝑋</m:t>
                      </m:r>
                    </m:e>
                    <m:sub>
                      <m:r>
                        <a:rPr lang="en-US" sz="1000" b="0" i="1">
                          <a:latin typeface="Cambria Math"/>
                          <a:ea typeface="Cambria Math"/>
                        </a:rPr>
                        <m:t>𝐶</m:t>
                      </m:r>
                      <m:r>
                        <a:rPr lang="en-US" sz="1000" b="0" i="1">
                          <a:latin typeface="Cambria Math"/>
                          <a:ea typeface="Cambria Math"/>
                        </a:rPr>
                        <m:t>−</m:t>
                      </m:r>
                      <m:r>
                        <a:rPr lang="en-US" sz="1000" b="0" i="1">
                          <a:latin typeface="Cambria Math"/>
                          <a:ea typeface="Cambria Math"/>
                        </a:rPr>
                        <m:t>𝑀𝐴𝐼𝑁</m:t>
                      </m:r>
                    </m:sub>
                  </m:sSub>
                  <m:r>
                    <a:rPr lang="en-US" sz="1000" b="0" i="1">
                      <a:latin typeface="Cambria Math"/>
                      <a:ea typeface="Cambria Math"/>
                    </a:rPr>
                    <m:t>=</m:t>
                  </m:r>
                  <m:sSub>
                    <m:sSubPr>
                      <m:ctrlPr>
                        <a:rPr lang="en-US" sz="1000" b="0" i="1">
                          <a:latin typeface="Cambria Math" panose="02040503050406030204" pitchFamily="18" charset="0"/>
                          <a:ea typeface="Cambria Math"/>
                        </a:rPr>
                      </m:ctrlPr>
                    </m:sSubPr>
                    <m:e>
                      <m:r>
                        <a:rPr lang="en-US" sz="1000" b="0" i="1">
                          <a:latin typeface="Cambria Math"/>
                          <a:ea typeface="Cambria Math"/>
                        </a:rPr>
                        <m:t>𝑋</m:t>
                      </m:r>
                    </m:e>
                    <m:sub>
                      <m:r>
                        <a:rPr lang="en-US" sz="1000" b="0" i="1">
                          <a:latin typeface="Cambria Math"/>
                          <a:ea typeface="Cambria Math"/>
                        </a:rPr>
                        <m:t>𝑒𝑓𝑓</m:t>
                      </m:r>
                    </m:sub>
                  </m:sSub>
                </m:oMath>
              </a14:m>
              <a:r>
                <a:rPr lang="en-US" sz="1000"/>
                <a:t>  (ohms)</a:t>
              </a:r>
            </a:p>
          </xdr:txBody>
        </xdr:sp>
      </mc:Choice>
      <mc:Fallback xmlns="">
        <xdr:sp macro="" textlink="">
          <xdr:nvSpPr>
            <xdr:cNvPr id="23" name="TextBox 22"/>
            <xdr:cNvSpPr txBox="1"/>
          </xdr:nvSpPr>
          <xdr:spPr>
            <a:xfrm>
              <a:off x="4619626" y="4959626"/>
              <a:ext cx="1807678" cy="25872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1000" b="0" i="0">
                  <a:latin typeface="Cambria Math"/>
                  <a:ea typeface="Cambria Math"/>
                </a:rPr>
                <a:t>𝑋_(𝐶−𝑀𝐴𝐼𝑁)=𝑋_𝑒𝑓𝑓</a:t>
              </a:r>
              <a:r>
                <a:rPr lang="en-US" sz="1000"/>
                <a:t>  (ohms)</a:t>
              </a:r>
            </a:p>
          </xdr:txBody>
        </xdr:sp>
      </mc:Fallback>
    </mc:AlternateContent>
    <xdr:clientData/>
  </xdr:oneCellAnchor>
  <xdr:oneCellAnchor>
    <xdr:from>
      <xdr:col>4</xdr:col>
      <xdr:colOff>820385</xdr:colOff>
      <xdr:row>37</xdr:row>
      <xdr:rowOff>384521</xdr:rowOff>
    </xdr:from>
    <xdr:ext cx="4124332" cy="35163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" name="TextBox 23">
              <a:extLst>
                <a:ext uri="{FF2B5EF4-FFF2-40B4-BE49-F238E27FC236}">
                  <a16:creationId xmlns:a16="http://schemas.microsoft.com/office/drawing/2014/main" id="{00000000-0008-0000-0200-000018000000}"/>
                </a:ext>
              </a:extLst>
            </xdr:cNvPr>
            <xdr:cNvSpPr txBox="1"/>
          </xdr:nvSpPr>
          <xdr:spPr>
            <a:xfrm>
              <a:off x="4630385" y="10472738"/>
              <a:ext cx="4124332" cy="35163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US" sz="1000" b="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sSub>
                        <m:sSubPr>
                          <m:ctrlPr>
                            <a:rPr lang="en-US" sz="1000" b="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n-US" sz="1000" b="0" i="1">
                              <a:latin typeface="Cambria Math"/>
                            </a:rPr>
                            <m:t>𝑄</m:t>
                          </m:r>
                        </m:e>
                        <m:sub>
                          <m:r>
                            <a:rPr lang="en-US" sz="1000" b="0" i="1">
                              <a:latin typeface="Cambria Math"/>
                            </a:rPr>
                            <m:t>𝐴𝑈𝑋</m:t>
                          </m:r>
                          <m:r>
                            <a:rPr lang="en-US" sz="1000" b="0" i="1">
                              <a:latin typeface="Cambria Math"/>
                            </a:rPr>
                            <m:t> </m:t>
                          </m:r>
                          <m:r>
                            <a:rPr lang="en-US" sz="1000" b="0" i="1">
                              <a:latin typeface="Cambria Math"/>
                            </a:rPr>
                            <m:t>𝑅𝐴𝑇𝐸𝐷</m:t>
                          </m:r>
                          <m:r>
                            <a:rPr lang="en-US" sz="1000" b="0" i="1">
                              <a:latin typeface="Cambria Math"/>
                            </a:rPr>
                            <m:t> </m:t>
                          </m:r>
                          <m:r>
                            <a:rPr lang="en-US" sz="1000" b="0" i="1">
                              <a:latin typeface="Cambria Math"/>
                            </a:rPr>
                            <m:t>𝑃𝐸𝑅</m:t>
                          </m:r>
                          <m:r>
                            <a:rPr lang="en-US" sz="1000" b="0" i="1">
                              <a:latin typeface="Cambria Math"/>
                            </a:rPr>
                            <m:t> </m:t>
                          </m:r>
                          <m:r>
                            <a:rPr lang="en-US" sz="1000" b="0" i="1">
                              <a:latin typeface="Cambria Math"/>
                            </a:rPr>
                            <m:t>𝑃𝐻𝐴𝑆𝐸</m:t>
                          </m:r>
                        </m:sub>
                      </m:sSub>
                      <m:r>
                        <a:rPr lang="en-US" sz="1000" b="0" i="1">
                          <a:latin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  <a:ea typeface="Cambria Math"/>
                        </a:rPr>
                        <m:t>=</m:t>
                      </m:r>
                      <m:f>
                        <m:fPr>
                          <m:ctrlPr>
                            <a:rPr lang="en-US" sz="1000" b="0" i="1">
                              <a:latin typeface="Cambria Math" panose="02040503050406030204" pitchFamily="18" charset="0"/>
                              <a:ea typeface="Cambria Math"/>
                            </a:rPr>
                          </m:ctrlPr>
                        </m:fPr>
                        <m:num>
                          <m:sSup>
                            <m:sSupPr>
                              <m:ctrlPr>
                                <a:rPr lang="en-US" sz="10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pPr>
                            <m:e>
                              <m:d>
                                <m:dPr>
                                  <m:ctrlP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dPr>
                                <m:e>
                                  <m:sSub>
                                    <m:sSubPr>
                                      <m:ctrlPr>
                                        <a:rPr lang="en-US" sz="1000" b="0" i="1">
                                          <a:solidFill>
                                            <a:schemeClr val="tx1"/>
                                          </a:solidFill>
                                          <a:effectLst/>
                                          <a:latin typeface="Cambria Math" panose="02040503050406030204" pitchFamily="18" charset="0"/>
                                          <a:ea typeface="+mn-ea"/>
                                          <a:cs typeface="+mn-cs"/>
                                        </a:rPr>
                                      </m:ctrlPr>
                                    </m:sSubPr>
                                    <m:e>
                                      <m:r>
                                        <a:rPr lang="en-US" sz="1000" b="0" i="1">
                                          <a:solidFill>
                                            <a:schemeClr val="tx1"/>
                                          </a:solidFill>
                                          <a:effectLst/>
                                          <a:latin typeface="Cambria Math"/>
                                          <a:ea typeface="+mn-ea"/>
                                          <a:cs typeface="+mn-cs"/>
                                        </a:rPr>
                                        <m:t>𝑉</m:t>
                                      </m:r>
                                    </m:e>
                                    <m:sub>
                                      <m:r>
                                        <a:rPr lang="en-US" sz="1000" b="0" i="1">
                                          <a:solidFill>
                                            <a:schemeClr val="tx1"/>
                                          </a:solidFill>
                                          <a:effectLst/>
                                          <a:latin typeface="Cambria Math"/>
                                          <a:ea typeface="+mn-ea"/>
                                          <a:cs typeface="+mn-cs"/>
                                        </a:rPr>
                                        <m:t>𝐶𝐴𝑃</m:t>
                                      </m:r>
                                      <m:r>
                                        <a:rPr lang="en-US" sz="1000" b="0" i="1">
                                          <a:solidFill>
                                            <a:schemeClr val="tx1"/>
                                          </a:solidFill>
                                          <a:effectLst/>
                                          <a:latin typeface="Cambria Math"/>
                                          <a:ea typeface="+mn-ea"/>
                                          <a:cs typeface="+mn-cs"/>
                                        </a:rPr>
                                        <m:t> </m:t>
                                      </m:r>
                                      <m:r>
                                        <a:rPr lang="en-US" sz="1000" b="0" i="1">
                                          <a:solidFill>
                                            <a:schemeClr val="tx1"/>
                                          </a:solidFill>
                                          <a:effectLst/>
                                          <a:latin typeface="Cambria Math"/>
                                          <a:ea typeface="+mn-ea"/>
                                          <a:cs typeface="+mn-cs"/>
                                        </a:rPr>
                                        <m:t>𝐴𝑈𝑋</m:t>
                                      </m:r>
                                      <m:r>
                                        <a:rPr lang="en-US" sz="1000" b="0" i="1">
                                          <a:solidFill>
                                            <a:schemeClr val="tx1"/>
                                          </a:solidFill>
                                          <a:effectLst/>
                                          <a:latin typeface="Cambria Math"/>
                                          <a:ea typeface="+mn-ea"/>
                                          <a:cs typeface="+mn-cs"/>
                                        </a:rPr>
                                        <m:t> </m:t>
                                      </m:r>
                                      <m:r>
                                        <a:rPr lang="en-US" sz="1000" b="0" i="1">
                                          <a:solidFill>
                                            <a:schemeClr val="tx1"/>
                                          </a:solidFill>
                                          <a:effectLst/>
                                          <a:latin typeface="Cambria Math"/>
                                          <a:ea typeface="+mn-ea"/>
                                          <a:cs typeface="+mn-cs"/>
                                        </a:rPr>
                                        <m:t>𝑅𝐴𝑇𝐼𝑁𝐺</m:t>
                                      </m:r>
                                    </m:sub>
                                  </m:sSub>
                                </m:e>
                              </m:d>
                            </m:e>
                            <m:sup>
                              <m:r>
                                <a:rPr lang="en-US" sz="10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2</m:t>
                              </m:r>
                            </m:sup>
                          </m:sSup>
                        </m:num>
                        <m:den>
                          <m:sSub>
                            <m:sSubPr>
                              <m:ctrlPr>
                                <a:rPr lang="en-US" sz="1000" b="0" i="1">
                                  <a:latin typeface="Cambria Math" panose="02040503050406030204" pitchFamily="18" charset="0"/>
                                  <a:ea typeface="Cambria Math"/>
                                </a:rPr>
                              </m:ctrlPr>
                            </m:sSubPr>
                            <m:e>
                              <m:r>
                                <a:rPr lang="en-US" sz="1000" b="0" i="1">
                                  <a:latin typeface="Cambria Math"/>
                                  <a:ea typeface="Cambria Math"/>
                                </a:rPr>
                                <m:t>𝑋</m:t>
                              </m:r>
                            </m:e>
                            <m:sub>
                              <m:r>
                                <a:rPr lang="en-US" sz="1000" b="0" i="1">
                                  <a:latin typeface="Cambria Math"/>
                                  <a:ea typeface="Cambria Math"/>
                                </a:rPr>
                                <m:t>𝐶</m:t>
                              </m:r>
                              <m:r>
                                <a:rPr lang="en-US" sz="1000" b="0" i="1">
                                  <a:latin typeface="Cambria Math"/>
                                  <a:ea typeface="Cambria Math"/>
                                </a:rPr>
                                <m:t>−</m:t>
                              </m:r>
                              <m:r>
                                <a:rPr lang="en-US" sz="1000" b="0" i="1">
                                  <a:latin typeface="Cambria Math"/>
                                  <a:ea typeface="Cambria Math"/>
                                </a:rPr>
                                <m:t>𝐴𝑈𝑋</m:t>
                              </m:r>
                            </m:sub>
                          </m:sSub>
                        </m:den>
                      </m:f>
                      <m:r>
                        <a:rPr lang="en-US" sz="1000" b="0" i="1">
                          <a:latin typeface="Cambria Math"/>
                          <a:ea typeface="Cambria Math"/>
                        </a:rPr>
                        <m:t>×1000</m:t>
                      </m:r>
                    </m:e>
                    <m:sub/>
                  </m:sSub>
                </m:oMath>
              </a14:m>
              <a:r>
                <a:rPr lang="en-US" sz="1000" b="0"/>
                <a:t>(kvar/phase)</a:t>
              </a:r>
            </a:p>
          </xdr:txBody>
        </xdr:sp>
      </mc:Choice>
      <mc:Fallback xmlns="">
        <xdr:sp macro="" textlink="">
          <xdr:nvSpPr>
            <xdr:cNvPr id="24" name="TextBox 23"/>
            <xdr:cNvSpPr txBox="1"/>
          </xdr:nvSpPr>
          <xdr:spPr>
            <a:xfrm>
              <a:off x="4630385" y="10472738"/>
              <a:ext cx="4124332" cy="35163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en-US" sz="1000" b="0" i="0">
                  <a:latin typeface="Cambria Math"/>
                </a:rPr>
                <a:t>〖𝑄_(𝐴𝑈𝑋 𝑅𝐴𝑇𝐸𝐷 𝑃𝐸𝑅 𝑃𝐻𝐴𝑆𝐸)  </a:t>
              </a:r>
              <a:r>
                <a:rPr lang="en-US" sz="1000" b="0" i="0">
                  <a:latin typeface="Cambria Math"/>
                  <a:ea typeface="Cambria Math"/>
                </a:rPr>
                <a:t>=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(𝑉_(𝐶𝐴𝑃 𝐴𝑈𝑋 𝑅𝐴𝑇𝐼𝑁𝐺) )^2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Cambria Math"/>
                  <a:cs typeface="+mn-cs"/>
                </a:rPr>
                <a:t>/</a:t>
              </a:r>
              <a:r>
                <a:rPr lang="en-US" sz="1000" b="0" i="0">
                  <a:latin typeface="Cambria Math"/>
                  <a:ea typeface="Cambria Math"/>
                </a:rPr>
                <a:t>𝑋_(𝐶−𝐴𝑈𝑋) ×1000〗_</a:t>
              </a:r>
              <a:r>
                <a:rPr lang="en-US" sz="1000" b="0"/>
                <a:t>(kvar/phase)</a:t>
              </a:r>
            </a:p>
          </xdr:txBody>
        </xdr:sp>
      </mc:Fallback>
    </mc:AlternateContent>
    <xdr:clientData/>
  </xdr:oneCellAnchor>
  <xdr:oneCellAnchor>
    <xdr:from>
      <xdr:col>5</xdr:col>
      <xdr:colOff>0</xdr:colOff>
      <xdr:row>51</xdr:row>
      <xdr:rowOff>142875</xdr:rowOff>
    </xdr:from>
    <xdr:ext cx="3314699" cy="40562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TextBox 24">
              <a:extLst>
                <a:ext uri="{FF2B5EF4-FFF2-40B4-BE49-F238E27FC236}">
                  <a16:creationId xmlns:a16="http://schemas.microsoft.com/office/drawing/2014/main" id="{00000000-0008-0000-0200-000019000000}"/>
                </a:ext>
              </a:extLst>
            </xdr:cNvPr>
            <xdr:cNvSpPr txBox="1"/>
          </xdr:nvSpPr>
          <xdr:spPr>
            <a:xfrm>
              <a:off x="4629150" y="13573125"/>
              <a:ext cx="3314699" cy="40562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0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000" b="0" i="1">
                            <a:latin typeface="Cambria Math"/>
                          </a:rPr>
                          <m:t>𝐼</m:t>
                        </m:r>
                      </m:e>
                      <m:sub>
                        <m:r>
                          <a:rPr lang="en-US" sz="1000" b="0" i="1">
                            <a:latin typeface="Cambria Math"/>
                          </a:rPr>
                          <m:t>𝐶𝐴𝑃</m:t>
                        </m:r>
                        <m:r>
                          <a:rPr lang="en-US" sz="1000" b="0" i="1">
                            <a:latin typeface="Cambria Math"/>
                          </a:rPr>
                          <m:t> </m:t>
                        </m:r>
                        <m:r>
                          <a:rPr lang="en-US" sz="1000" b="0" i="1">
                            <a:latin typeface="Cambria Math"/>
                          </a:rPr>
                          <m:t>𝐴𝑈𝑋</m:t>
                        </m:r>
                      </m:sub>
                    </m:sSub>
                    <m:r>
                      <a:rPr lang="en-US" sz="1000" b="0" i="1">
                        <a:latin typeface="Cambria Math"/>
                        <a:ea typeface="Cambria Math"/>
                      </a:rPr>
                      <m:t>= </m:t>
                    </m:r>
                    <m:f>
                      <m:fPr>
                        <m:ctrlPr>
                          <a:rPr lang="en-US" sz="1000" b="0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US" sz="10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0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𝐼</m:t>
                            </m:r>
                          </m:e>
                          <m:sub>
                            <m:r>
                              <a:rPr lang="en-US" sz="10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𝑅𝐴𝑇𝐸𝐷</m:t>
                            </m:r>
                            <m:r>
                              <a:rPr lang="en-US" sz="10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 </m:t>
                            </m:r>
                            <m:r>
                              <a:rPr lang="en-US" sz="10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𝐹𝑈𝑁𝐷𝐴𝑀𝐸𝑁𝑇𝐴𝐿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en-US" sz="10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0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𝑁</m:t>
                            </m:r>
                          </m:e>
                          <m:sub>
                            <m:r>
                              <a:rPr lang="en-US" sz="10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𝐴𝑈𝑋</m:t>
                            </m:r>
                          </m:sub>
                        </m:sSub>
                      </m:den>
                    </m:f>
                  </m:oMath>
                </m:oMathPara>
              </a14:m>
              <a:endParaRPr lang="en-US" sz="1000" b="0"/>
            </a:p>
          </xdr:txBody>
        </xdr:sp>
      </mc:Choice>
      <mc:Fallback xmlns="">
        <xdr:sp macro="" textlink="">
          <xdr:nvSpPr>
            <xdr:cNvPr id="25" name="TextBox 24"/>
            <xdr:cNvSpPr txBox="1"/>
          </xdr:nvSpPr>
          <xdr:spPr>
            <a:xfrm>
              <a:off x="4629150" y="13573125"/>
              <a:ext cx="3314699" cy="40562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en-US" sz="1000" b="0" i="0">
                  <a:latin typeface="Cambria Math"/>
                </a:rPr>
                <a:t>𝐼_(𝐶𝐴𝑃 𝐴𝑈𝑋)</a:t>
              </a:r>
              <a:r>
                <a:rPr lang="en-US" sz="1000" b="0" i="0">
                  <a:latin typeface="Cambria Math"/>
                  <a:ea typeface="Cambria Math"/>
                </a:rPr>
                <a:t>= 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 𝐼_(𝑅𝐴𝑇𝐸𝐷 𝐹𝑈𝑁𝐷𝐴𝑀𝐸𝑁𝑇𝐴𝐿)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Cambria Math"/>
                  <a:cs typeface="+mn-cs"/>
                </a:rPr>
                <a:t>/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𝑁_𝐴𝑈𝑋 </a:t>
              </a:r>
              <a:endParaRPr lang="en-US" sz="1000" b="0"/>
            </a:p>
          </xdr:txBody>
        </xdr:sp>
      </mc:Fallback>
    </mc:AlternateContent>
    <xdr:clientData/>
  </xdr:oneCellAnchor>
  <xdr:oneCellAnchor>
    <xdr:from>
      <xdr:col>5</xdr:col>
      <xdr:colOff>0</xdr:colOff>
      <xdr:row>54</xdr:row>
      <xdr:rowOff>0</xdr:rowOff>
    </xdr:from>
    <xdr:ext cx="4419599" cy="24885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TextBox 25">
              <a:extLst>
                <a:ext uri="{FF2B5EF4-FFF2-40B4-BE49-F238E27FC236}">
                  <a16:creationId xmlns:a16="http://schemas.microsoft.com/office/drawing/2014/main" id="{00000000-0008-0000-0200-00001A000000}"/>
                </a:ext>
              </a:extLst>
            </xdr:cNvPr>
            <xdr:cNvSpPr txBox="1"/>
          </xdr:nvSpPr>
          <xdr:spPr>
            <a:xfrm>
              <a:off x="4629150" y="8639175"/>
              <a:ext cx="4419599" cy="2488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0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m:rPr>
                            <m:sty m:val="p"/>
                          </m:rPr>
                          <a:rPr lang="en-US" sz="1000" b="0" i="0">
                            <a:latin typeface="Cambria Math"/>
                          </a:rPr>
                          <m:t>V</m:t>
                        </m:r>
                      </m:e>
                      <m:sub>
                        <m:r>
                          <m:rPr>
                            <m:sty m:val="p"/>
                          </m:rPr>
                          <a:rPr lang="en-US" sz="1000" b="0" i="0">
                            <a:latin typeface="Cambria Math"/>
                          </a:rPr>
                          <m:t>CAP</m:t>
                        </m:r>
                        <m:r>
                          <a:rPr lang="en-US" sz="1000" b="0" i="0">
                            <a:latin typeface="Cambria Math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US" sz="1000" b="0" i="0">
                            <a:latin typeface="Cambria Math"/>
                          </a:rPr>
                          <m:t>AUX</m:t>
                        </m:r>
                        <m:r>
                          <a:rPr lang="en-US" sz="1000" b="0" i="0">
                            <a:latin typeface="Cambria Math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US" sz="1000" b="0" i="0">
                            <a:latin typeface="Cambria Math"/>
                          </a:rPr>
                          <m:t>FUNDAMENTAL</m:t>
                        </m:r>
                        <m:r>
                          <a:rPr lang="en-US" sz="1000" b="0" i="0">
                            <a:latin typeface="Cambria Math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US" sz="1000" b="0" i="0">
                            <a:latin typeface="Cambria Math"/>
                          </a:rPr>
                          <m:t>VOLTAGE</m:t>
                        </m:r>
                      </m:sub>
                    </m:sSub>
                    <m:r>
                      <a:rPr lang="en-US" sz="1000" b="0" i="0">
                        <a:latin typeface="Cambria Math"/>
                        <a:ea typeface="Cambria Math"/>
                      </a:rPr>
                      <m:t>=</m:t>
                    </m:r>
                    <m:sSub>
                      <m:sSubPr>
                        <m:ctrlPr>
                          <a:rPr lang="en-US" sz="1000" b="0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sSubPr>
                      <m:e>
                        <m:r>
                          <m:rPr>
                            <m:sty m:val="p"/>
                          </m:rPr>
                          <a:rPr lang="en-US" sz="1000" b="0" i="0">
                            <a:latin typeface="Cambria Math"/>
                            <a:ea typeface="Cambria Math"/>
                          </a:rPr>
                          <m:t>I</m:t>
                        </m:r>
                      </m:e>
                      <m:sub>
                        <m:r>
                          <m:rPr>
                            <m:sty m:val="p"/>
                          </m:rPr>
                          <a:rPr lang="en-US" sz="1000" b="0" i="0">
                            <a:latin typeface="Cambria Math"/>
                            <a:ea typeface="Cambria Math"/>
                          </a:rPr>
                          <m:t>AUX</m:t>
                        </m:r>
                        <m:r>
                          <a:rPr lang="en-US" sz="1000" b="0" i="0">
                            <a:latin typeface="Cambria Math"/>
                            <a:ea typeface="Cambria Math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US" sz="1000" b="0" i="0">
                            <a:latin typeface="Cambria Math"/>
                            <a:ea typeface="Cambria Math"/>
                          </a:rPr>
                          <m:t>UNDAMENTAL</m:t>
                        </m:r>
                      </m:sub>
                    </m:sSub>
                    <m:r>
                      <a:rPr lang="en-US" sz="1000" b="0" i="0">
                        <a:latin typeface="Cambria Math"/>
                        <a:ea typeface="Cambria Math"/>
                      </a:rPr>
                      <m:t>× </m:t>
                    </m:r>
                    <m:sSub>
                      <m:sSubPr>
                        <m:ctrlPr>
                          <a:rPr lang="en-US" sz="1000" b="0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sSubPr>
                      <m:e>
                        <m:r>
                          <m:rPr>
                            <m:sty m:val="p"/>
                          </m:rPr>
                          <a:rPr lang="en-US" sz="1000" b="0" i="0">
                            <a:latin typeface="Cambria Math"/>
                            <a:ea typeface="Cambria Math"/>
                          </a:rPr>
                          <m:t>X</m:t>
                        </m:r>
                      </m:e>
                      <m:sub>
                        <m:r>
                          <m:rPr>
                            <m:sty m:val="p"/>
                          </m:rPr>
                          <a:rPr lang="en-US" sz="1000" b="0" i="0">
                            <a:latin typeface="Cambria Math"/>
                            <a:ea typeface="Cambria Math"/>
                          </a:rPr>
                          <m:t>C</m:t>
                        </m:r>
                        <m:r>
                          <a:rPr lang="en-US" sz="1000" b="0" i="0">
                            <a:latin typeface="Cambria Math"/>
                            <a:ea typeface="Cambria Math"/>
                          </a:rPr>
                          <m:t>−</m:t>
                        </m:r>
                        <m:r>
                          <m:rPr>
                            <m:sty m:val="p"/>
                          </m:rPr>
                          <a:rPr lang="en-US" sz="1000" b="0" i="0">
                            <a:latin typeface="Cambria Math"/>
                            <a:ea typeface="Cambria Math"/>
                          </a:rPr>
                          <m:t>AUX</m:t>
                        </m:r>
                      </m:sub>
                    </m:sSub>
                  </m:oMath>
                </m:oMathPara>
              </a14:m>
              <a:endParaRPr lang="en-US" sz="1000" b="0" i="0"/>
            </a:p>
          </xdr:txBody>
        </xdr:sp>
      </mc:Choice>
      <mc:Fallback xmlns="">
        <xdr:sp macro="" textlink="">
          <xdr:nvSpPr>
            <xdr:cNvPr id="26" name="TextBox 25"/>
            <xdr:cNvSpPr txBox="1"/>
          </xdr:nvSpPr>
          <xdr:spPr>
            <a:xfrm>
              <a:off x="4629150" y="8639175"/>
              <a:ext cx="4419599" cy="2488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en-US" sz="1000" b="0" i="0">
                  <a:latin typeface="Cambria Math"/>
                </a:rPr>
                <a:t>V_(CAP AUX FUNDAMENTAL VOLTAGE)</a:t>
              </a:r>
              <a:r>
                <a:rPr lang="en-US" sz="1000" b="0" i="0">
                  <a:latin typeface="Cambria Math"/>
                  <a:ea typeface="Cambria Math"/>
                </a:rPr>
                <a:t>=I_(AUX UNDAMENTAL)× X_(C−AUX)</a:t>
              </a:r>
              <a:endParaRPr lang="en-US" sz="1000" b="0" i="0"/>
            </a:p>
          </xdr:txBody>
        </xdr:sp>
      </mc:Fallback>
    </mc:AlternateContent>
    <xdr:clientData/>
  </xdr:oneCellAnchor>
  <xdr:oneCellAnchor>
    <xdr:from>
      <xdr:col>5</xdr:col>
      <xdr:colOff>0</xdr:colOff>
      <xdr:row>11</xdr:row>
      <xdr:rowOff>19050</xdr:rowOff>
    </xdr:from>
    <xdr:ext cx="1689652" cy="38568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TextBox 26">
              <a:extLst>
                <a:ext uri="{FF2B5EF4-FFF2-40B4-BE49-F238E27FC236}">
                  <a16:creationId xmlns:a16="http://schemas.microsoft.com/office/drawing/2014/main" id="{00000000-0008-0000-0200-00001B000000}"/>
                </a:ext>
              </a:extLst>
            </xdr:cNvPr>
            <xdr:cNvSpPr txBox="1"/>
          </xdr:nvSpPr>
          <xdr:spPr>
            <a:xfrm>
              <a:off x="4638261" y="2843420"/>
              <a:ext cx="1689652" cy="38568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US" sz="1000" b="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n-US" sz="1000" b="0" i="1">
                          <a:latin typeface="Cambria Math"/>
                        </a:rPr>
                        <m:t>𝑋</m:t>
                      </m:r>
                    </m:e>
                    <m:sub>
                      <m:r>
                        <a:rPr lang="en-US" sz="1000" b="0" i="1">
                          <a:latin typeface="Cambria Math"/>
                        </a:rPr>
                        <m:t>𝑒𝑓𝑓</m:t>
                      </m:r>
                    </m:sub>
                  </m:sSub>
                  <m:r>
                    <a:rPr lang="en-US" sz="1000" b="0" i="1">
                      <a:latin typeface="Cambria Math"/>
                      <a:ea typeface="Cambria Math"/>
                    </a:rPr>
                    <m:t>= </m:t>
                  </m:r>
                  <m:f>
                    <m:fPr>
                      <m:ctrlPr>
                        <a:rPr lang="en-US" sz="1000" b="0" i="1">
                          <a:latin typeface="Cambria Math" panose="02040503050406030204" pitchFamily="18" charset="0"/>
                          <a:ea typeface="Cambria Math"/>
                        </a:rPr>
                      </m:ctrlPr>
                    </m:fPr>
                    <m:num>
                      <m:sSup>
                        <m:sSupPr>
                          <m:ctrlPr>
                            <a:rPr lang="en-US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sSub>
                            <m:sSubPr>
                              <m:ctrlPr>
                                <a:rPr lang="en-US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n-US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𝑘𝑉</m:t>
                              </m:r>
                            </m:e>
                            <m:sub>
                              <m:r>
                                <a:rPr lang="en-US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𝐿𝐿𝑆𝑌𝑆</m:t>
                              </m:r>
                            </m:sub>
                          </m:sSub>
                        </m:e>
                        <m:sup>
                          <m:r>
                            <a:rPr lang="en-US" sz="11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</m:t>
                          </m:r>
                        </m:sup>
                      </m:sSup>
                    </m:num>
                    <m:den>
                      <m:sSub>
                        <m:sSubPr>
                          <m:ctrlPr>
                            <a:rPr lang="en-US" sz="10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n-US" sz="10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𝑄</m:t>
                          </m:r>
                        </m:e>
                        <m:sub>
                          <m:r>
                            <a:rPr lang="en-US" sz="10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𝑒𝑓𝑓</m:t>
                          </m:r>
                        </m:sub>
                      </m:sSub>
                      <m:r>
                        <a:rPr lang="en-US" sz="1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</m:t>
                      </m:r>
                      <m:r>
                        <a:rPr lang="en-US" sz="1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𝑀𝑉𝐴𝑅</m:t>
                      </m:r>
                      <m:r>
                        <a:rPr lang="en-US" sz="1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</m:t>
                      </m:r>
                    </m:den>
                  </m:f>
                </m:oMath>
              </a14:m>
              <a:r>
                <a:rPr lang="en-US" sz="1000" b="0"/>
                <a:t> (ohms)</a:t>
              </a:r>
            </a:p>
          </xdr:txBody>
        </xdr:sp>
      </mc:Choice>
      <mc:Fallback xmlns="">
        <xdr:sp macro="" textlink="">
          <xdr:nvSpPr>
            <xdr:cNvPr id="27" name="TextBox 26"/>
            <xdr:cNvSpPr txBox="1"/>
          </xdr:nvSpPr>
          <xdr:spPr>
            <a:xfrm>
              <a:off x="4638261" y="2843420"/>
              <a:ext cx="1689652" cy="38568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en-US" sz="1000" b="0" i="0">
                  <a:latin typeface="Cambria Math"/>
                </a:rPr>
                <a:t>𝑋_𝑒𝑓𝑓</a:t>
              </a:r>
              <a:r>
                <a:rPr lang="en-US" sz="1000" b="0" i="0">
                  <a:latin typeface="Cambria Math"/>
                  <a:ea typeface="Cambria Math"/>
                </a:rPr>
                <a:t>= 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 〖〖𝑘𝑉〗_𝐿𝐿𝑆𝑌𝑆〗^2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Cambria Math"/>
                  <a:cs typeface="+mn-cs"/>
                </a:rPr>
                <a:t>/(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𝑄_𝑒𝑓𝑓 (𝑀𝑉𝐴𝑅)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Cambria Math"/>
                  <a:cs typeface="+mn-cs"/>
                </a:rPr>
                <a:t>)</a:t>
              </a:r>
              <a:r>
                <a:rPr lang="en-US" sz="1000" b="0"/>
                <a:t> (ohms)</a:t>
              </a:r>
            </a:p>
          </xdr:txBody>
        </xdr:sp>
      </mc:Fallback>
    </mc:AlternateContent>
    <xdr:clientData/>
  </xdr:oneCellAnchor>
  <xdr:oneCellAnchor>
    <xdr:from>
      <xdr:col>5</xdr:col>
      <xdr:colOff>0</xdr:colOff>
      <xdr:row>55</xdr:row>
      <xdr:rowOff>0</xdr:rowOff>
    </xdr:from>
    <xdr:ext cx="4419600" cy="5143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9" name="TextBox 28">
              <a:extLst>
                <a:ext uri="{FF2B5EF4-FFF2-40B4-BE49-F238E27FC236}">
                  <a16:creationId xmlns:a16="http://schemas.microsoft.com/office/drawing/2014/main" id="{00000000-0008-0000-0200-00001D000000}"/>
                </a:ext>
              </a:extLst>
            </xdr:cNvPr>
            <xdr:cNvSpPr txBox="1"/>
          </xdr:nvSpPr>
          <xdr:spPr>
            <a:xfrm>
              <a:off x="4629150" y="12372975"/>
              <a:ext cx="4419600" cy="5143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14:m>
                <m:oMath xmlns:m="http://schemas.openxmlformats.org/officeDocument/2006/math">
                  <m:sSub>
                    <m:sSubPr>
                      <m:ctrlPr>
                        <a:rPr lang="en-US" sz="1000" b="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n-US" sz="1000" b="0" i="1">
                          <a:latin typeface="Cambria Math"/>
                        </a:rPr>
                        <m:t>𝑉</m:t>
                      </m:r>
                    </m:e>
                    <m:sub>
                      <m:r>
                        <a:rPr lang="en-US" sz="1000" b="0" i="1">
                          <a:latin typeface="Cambria Math"/>
                        </a:rPr>
                        <m:t>𝐶𝐴𝑃</m:t>
                      </m:r>
                      <m:r>
                        <a:rPr lang="en-US" sz="1000" b="0" i="1">
                          <a:latin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</a:rPr>
                        <m:t>𝐴𝑈𝑋</m:t>
                      </m:r>
                      <m:r>
                        <a:rPr lang="en-US" sz="1000" b="0" i="1">
                          <a:latin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</a:rPr>
                        <m:t>𝑅𝑀𝑆</m:t>
                      </m:r>
                      <m:r>
                        <a:rPr lang="en-US" sz="1000" b="0" i="1">
                          <a:latin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</a:rPr>
                        <m:t>𝑉𝑂𝐿𝑇𝐴𝐺𝐸</m:t>
                      </m:r>
                    </m:sub>
                  </m:sSub>
                  <m:r>
                    <a:rPr lang="en-US" sz="1000" b="0" i="1">
                      <a:latin typeface="Cambria Math"/>
                      <a:ea typeface="Cambria Math"/>
                    </a:rPr>
                    <m:t>=</m:t>
                  </m:r>
                  <m:rad>
                    <m:radPr>
                      <m:degHide m:val="on"/>
                      <m:ctrlPr>
                        <a:rPr lang="en-US" sz="1000" b="0" i="1">
                          <a:latin typeface="Cambria Math" panose="02040503050406030204" pitchFamily="18" charset="0"/>
                          <a:ea typeface="Cambria Math"/>
                        </a:rPr>
                      </m:ctrlPr>
                    </m:radPr>
                    <m:deg/>
                    <m:e>
                      <m:nary>
                        <m:naryPr>
                          <m:chr m:val="∑"/>
                          <m:ctrlPr>
                            <a:rPr lang="en-US" sz="1000" b="0" i="1">
                              <a:latin typeface="Cambria Math" panose="02040503050406030204" pitchFamily="18" charset="0"/>
                              <a:ea typeface="Cambria Math"/>
                            </a:rPr>
                          </m:ctrlPr>
                        </m:naryPr>
                        <m:sub>
                          <m:r>
                            <m:rPr>
                              <m:brk m:alnAt="23"/>
                            </m:rPr>
                            <a:rPr lang="en-US" sz="1000" b="0" i="1">
                              <a:latin typeface="Cambria Math"/>
                              <a:ea typeface="Cambria Math"/>
                            </a:rPr>
                            <m:t>𝑛</m:t>
                          </m:r>
                          <m:r>
                            <a:rPr lang="en-US" sz="1000" b="0" i="1">
                              <a:latin typeface="Cambria Math"/>
                              <a:ea typeface="Cambria Math"/>
                            </a:rPr>
                            <m:t>=1</m:t>
                          </m:r>
                        </m:sub>
                        <m:sup>
                          <m:r>
                            <a:rPr lang="en-US" sz="1000" b="0" i="1">
                              <a:latin typeface="Cambria Math"/>
                              <a:ea typeface="Cambria Math"/>
                            </a:rPr>
                            <m:t>𝑛</m:t>
                          </m:r>
                        </m:sup>
                        <m:e>
                          <m:sSup>
                            <m:sSupPr>
                              <m:ctrlPr>
                                <a:rPr lang="en-US" sz="1000" b="0" i="1">
                                  <a:latin typeface="Cambria Math" panose="02040503050406030204" pitchFamily="18" charset="0"/>
                                  <a:ea typeface="Cambria Math"/>
                                </a:rPr>
                              </m:ctrlPr>
                            </m:sSupPr>
                            <m:e>
                              <m:sSub>
                                <m:sSubPr>
                                  <m:ctrlP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sSubPr>
                                <m:e>
                                  <m: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/>
                                      <a:ea typeface="+mn-ea"/>
                                      <a:cs typeface="+mn-cs"/>
                                    </a:rPr>
                                    <m:t>𝑉</m:t>
                                  </m:r>
                                </m:e>
                                <m:sub>
                                  <m: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/>
                                      <a:ea typeface="+mn-ea"/>
                                      <a:cs typeface="+mn-cs"/>
                                    </a:rPr>
                                    <m:t>𝐶𝐴𝑃</m:t>
                                  </m:r>
                                  <m: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/>
                                      <a:ea typeface="+mn-ea"/>
                                      <a:cs typeface="+mn-cs"/>
                                    </a:rPr>
                                    <m:t> </m:t>
                                  </m:r>
                                  <m: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/>
                                      <a:ea typeface="+mn-ea"/>
                                      <a:cs typeface="+mn-cs"/>
                                    </a:rPr>
                                    <m:t>𝐻𝐴𝑅𝑀𝑂𝑁𝐼𝐶</m:t>
                                  </m:r>
                                  <m: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/>
                                      <a:ea typeface="+mn-ea"/>
                                      <a:cs typeface="+mn-cs"/>
                                    </a:rPr>
                                    <m:t> </m:t>
                                  </m:r>
                                  <m: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/>
                                      <a:ea typeface="+mn-ea"/>
                                      <a:cs typeface="+mn-cs"/>
                                    </a:rPr>
                                    <m:t>𝑉𝑂𝐿𝑇𝐴𝐺𝐸</m:t>
                                  </m:r>
                                  <m: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/>
                                      <a:ea typeface="+mn-ea"/>
                                      <a:cs typeface="+mn-cs"/>
                                    </a:rPr>
                                    <m:t> (</m:t>
                                  </m:r>
                                  <m: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/>
                                      <a:ea typeface="+mn-ea"/>
                                      <a:cs typeface="+mn-cs"/>
                                    </a:rPr>
                                    <m:t>𝑉𝑂𝐿𝑇𝑆</m:t>
                                  </m:r>
                                  <m: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/>
                                      <a:ea typeface="+mn-ea"/>
                                      <a:cs typeface="+mn-cs"/>
                                    </a:rPr>
                                    <m:t>)</m:t>
                                  </m:r>
                                </m:sub>
                              </m:sSub>
                            </m:e>
                            <m:sup>
                              <m:r>
                                <a:rPr lang="en-US" sz="1000" b="0" i="1">
                                  <a:latin typeface="Cambria Math"/>
                                  <a:ea typeface="Cambria Math"/>
                                </a:rPr>
                                <m:t>2</m:t>
                              </m:r>
                            </m:sup>
                          </m:sSup>
                        </m:e>
                      </m:nary>
                    </m:e>
                  </m:rad>
                </m:oMath>
              </a14:m>
              <a:r>
                <a:rPr lang="en-US" sz="1000" b="0"/>
                <a:t> /1000</a:t>
              </a:r>
            </a:p>
          </xdr:txBody>
        </xdr:sp>
      </mc:Choice>
      <mc:Fallback xmlns="">
        <xdr:sp macro="" textlink="">
          <xdr:nvSpPr>
            <xdr:cNvPr id="29" name="TextBox 28"/>
            <xdr:cNvSpPr txBox="1"/>
          </xdr:nvSpPr>
          <xdr:spPr>
            <a:xfrm>
              <a:off x="4629150" y="12372975"/>
              <a:ext cx="4419600" cy="5143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:r>
                <a:rPr lang="en-US" sz="1000" b="0" i="0">
                  <a:latin typeface="Cambria Math"/>
                </a:rPr>
                <a:t>𝑉_(𝐶𝐴𝑃 𝐴𝑈𝑋 𝑅𝑀𝑆 𝑉𝑂𝐿𝑇𝐴𝐺𝐸)</a:t>
              </a:r>
              <a:r>
                <a:rPr lang="en-US" sz="1000" b="0" i="0">
                  <a:latin typeface="Cambria Math"/>
                  <a:ea typeface="Cambria Math"/>
                </a:rPr>
                <a:t>=√(∑_(𝑛=1)^𝑛▒〖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𝑉_(𝐶𝐴𝑃 𝐻𝐴𝑅𝑀𝑂𝑁𝐼𝐶 𝑉𝑂𝐿𝑇𝐴𝐺𝐸 (𝑉𝑂𝐿𝑇𝑆))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Cambria Math"/>
                  <a:cs typeface="+mn-cs"/>
                </a:rPr>
                <a:t>〗^</a:t>
              </a:r>
              <a:r>
                <a:rPr lang="en-US" sz="1000" b="0" i="0">
                  <a:latin typeface="Cambria Math"/>
                  <a:ea typeface="Cambria Math"/>
                </a:rPr>
                <a:t>2 )</a:t>
              </a:r>
              <a:r>
                <a:rPr lang="en-US" sz="1000" b="0"/>
                <a:t> /1000</a:t>
              </a:r>
            </a:p>
          </xdr:txBody>
        </xdr:sp>
      </mc:Fallback>
    </mc:AlternateContent>
    <xdr:clientData/>
  </xdr:oneCellAnchor>
  <xdr:oneCellAnchor>
    <xdr:from>
      <xdr:col>5</xdr:col>
      <xdr:colOff>0</xdr:colOff>
      <xdr:row>55</xdr:row>
      <xdr:rowOff>276225</xdr:rowOff>
    </xdr:from>
    <xdr:ext cx="4486276" cy="47897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" name="TextBox 29">
              <a:extLst>
                <a:ext uri="{FF2B5EF4-FFF2-40B4-BE49-F238E27FC236}">
                  <a16:creationId xmlns:a16="http://schemas.microsoft.com/office/drawing/2014/main" id="{00000000-0008-0000-0200-00001E000000}"/>
                </a:ext>
              </a:extLst>
            </xdr:cNvPr>
            <xdr:cNvSpPr txBox="1"/>
          </xdr:nvSpPr>
          <xdr:spPr>
            <a:xfrm>
              <a:off x="4629150" y="12649200"/>
              <a:ext cx="4486276" cy="47897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0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000" b="0" i="1">
                            <a:latin typeface="Cambria Math"/>
                          </a:rPr>
                          <m:t>𝑉</m:t>
                        </m:r>
                      </m:e>
                      <m:sub>
                        <m:r>
                          <a:rPr lang="en-US" sz="1000" b="0" i="1">
                            <a:latin typeface="Cambria Math"/>
                          </a:rPr>
                          <m:t>𝐶𝐴𝑃</m:t>
                        </m:r>
                        <m:r>
                          <a:rPr lang="en-US" sz="1000" b="0" i="1">
                            <a:latin typeface="Cambria Math"/>
                          </a:rPr>
                          <m:t> </m:t>
                        </m:r>
                        <m:r>
                          <a:rPr lang="en-US" sz="1000" b="0" i="1">
                            <a:latin typeface="Cambria Math"/>
                          </a:rPr>
                          <m:t>𝐴𝑈𝑋</m:t>
                        </m:r>
                        <m:r>
                          <a:rPr lang="en-US" sz="1000" b="0" i="1">
                            <a:latin typeface="Cambria Math"/>
                          </a:rPr>
                          <m:t> </m:t>
                        </m:r>
                        <m:r>
                          <a:rPr lang="en-US" sz="1000" b="0" i="1">
                            <a:latin typeface="Cambria Math"/>
                          </a:rPr>
                          <m:t>𝑃𝐸𝐴𝐾</m:t>
                        </m:r>
                        <m:r>
                          <a:rPr lang="en-US" sz="1000" b="0" i="1">
                            <a:latin typeface="Cambria Math"/>
                          </a:rPr>
                          <m:t> </m:t>
                        </m:r>
                        <m:r>
                          <a:rPr lang="en-US" sz="1000" b="0" i="1">
                            <a:latin typeface="Cambria Math"/>
                          </a:rPr>
                          <m:t>𝑉𝑂𝐿𝑇𝐴𝐺𝐸</m:t>
                        </m:r>
                      </m:sub>
                    </m:sSub>
                    <m:r>
                      <a:rPr lang="en-US" sz="1000" b="0" i="1">
                        <a:latin typeface="Cambria Math"/>
                        <a:ea typeface="Cambria Math"/>
                      </a:rPr>
                      <m:t>=1.414 ×</m:t>
                    </m:r>
                    <m:nary>
                      <m:naryPr>
                        <m:chr m:val="∑"/>
                        <m:ctrlPr>
                          <a:rPr lang="en-US" sz="10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naryPr>
                      <m:sub>
                        <m:r>
                          <m:rPr>
                            <m:brk m:alnAt="23"/>
                          </m:rPr>
                          <a:rPr lang="en-US" sz="10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𝑛</m:t>
                        </m:r>
                        <m:r>
                          <a:rPr lang="en-US" sz="10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=1</m:t>
                        </m:r>
                      </m:sub>
                      <m:sup>
                        <m:r>
                          <a:rPr lang="en-US" sz="10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𝑛</m:t>
                        </m:r>
                      </m:sup>
                      <m:e>
                        <m:sSup>
                          <m:sSupPr>
                            <m:ctrlPr>
                              <a:rPr lang="en-US" sz="10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sSub>
                              <m:sSubPr>
                                <m:ctrlPr>
                                  <a:rPr lang="en-US" sz="10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sz="10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𝑉</m:t>
                                </m:r>
                              </m:e>
                              <m:sub>
                                <m:r>
                                  <a:rPr lang="en-US" sz="10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𝐶𝐴𝑃</m:t>
                                </m:r>
                                <m:r>
                                  <a:rPr lang="en-US" sz="10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 </m:t>
                                </m:r>
                                <m:r>
                                  <a:rPr lang="en-US" sz="10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𝐻𝐴𝑅𝑀𝑂𝑁𝐼𝐶</m:t>
                                </m:r>
                                <m:r>
                                  <a:rPr lang="en-US" sz="10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 </m:t>
                                </m:r>
                                <m:r>
                                  <a:rPr lang="en-US" sz="10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𝑉𝑂𝐿𝑇𝐴𝐺𝐸</m:t>
                                </m:r>
                              </m:sub>
                            </m:sSub>
                          </m:e>
                          <m:sup/>
                        </m:sSup>
                      </m:e>
                    </m:nary>
                  </m:oMath>
                </m:oMathPara>
              </a14:m>
              <a:endParaRPr lang="en-US" sz="1000" b="0"/>
            </a:p>
          </xdr:txBody>
        </xdr:sp>
      </mc:Choice>
      <mc:Fallback xmlns="">
        <xdr:sp macro="" textlink="">
          <xdr:nvSpPr>
            <xdr:cNvPr id="30" name="TextBox 29"/>
            <xdr:cNvSpPr txBox="1"/>
          </xdr:nvSpPr>
          <xdr:spPr>
            <a:xfrm>
              <a:off x="4629150" y="12649200"/>
              <a:ext cx="4486276" cy="47897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:r>
                <a:rPr lang="en-US" sz="1000" b="0" i="0">
                  <a:latin typeface="Cambria Math"/>
                </a:rPr>
                <a:t>𝑉_(𝐶𝐴𝑃 𝐴𝑈𝑋 𝑃𝐸𝐴𝐾 𝑉𝑂𝐿𝑇𝐴𝐺𝐸)</a:t>
              </a:r>
              <a:r>
                <a:rPr lang="en-US" sz="1000" b="0" i="0">
                  <a:latin typeface="Cambria Math"/>
                  <a:ea typeface="Cambria Math"/>
                </a:rPr>
                <a:t>=1.414 ×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∑_(𝑛=1)^𝑛▒〖𝑉_(𝐶𝐴𝑃 𝐻𝐴𝑅𝑀𝑂𝑁𝐼𝐶 𝑉𝑂𝐿𝑇𝐴𝐺𝐸)〗^ </a:t>
              </a:r>
              <a:endParaRPr lang="en-US" sz="1000" b="0"/>
            </a:p>
          </xdr:txBody>
        </xdr:sp>
      </mc:Fallback>
    </mc:AlternateContent>
    <xdr:clientData/>
  </xdr:oneCellAnchor>
  <xdr:oneCellAnchor>
    <xdr:from>
      <xdr:col>5</xdr:col>
      <xdr:colOff>9525</xdr:colOff>
      <xdr:row>57</xdr:row>
      <xdr:rowOff>28575</xdr:rowOff>
    </xdr:from>
    <xdr:ext cx="2552700" cy="40884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2" name="TextBox 31">
              <a:extLst>
                <a:ext uri="{FF2B5EF4-FFF2-40B4-BE49-F238E27FC236}">
                  <a16:creationId xmlns:a16="http://schemas.microsoft.com/office/drawing/2014/main" id="{00000000-0008-0000-0200-000020000000}"/>
                </a:ext>
              </a:extLst>
            </xdr:cNvPr>
            <xdr:cNvSpPr txBox="1"/>
          </xdr:nvSpPr>
          <xdr:spPr>
            <a:xfrm>
              <a:off x="4638675" y="13163550"/>
              <a:ext cx="2552700" cy="40884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14:m>
                <m:oMath xmlns:m="http://schemas.openxmlformats.org/officeDocument/2006/math">
                  <m:sSub>
                    <m:sSubPr>
                      <m:ctrlPr>
                        <a:rPr lang="en-US" sz="1000" b="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n-US" sz="1000" b="0" i="1">
                          <a:latin typeface="Cambria Math"/>
                        </a:rPr>
                        <m:t>𝐼</m:t>
                      </m:r>
                    </m:e>
                    <m:sub>
                      <m:r>
                        <a:rPr lang="en-US" sz="1000" b="0" i="1">
                          <a:latin typeface="Cambria Math"/>
                        </a:rPr>
                        <m:t>𝐶𝐴𝑃</m:t>
                      </m:r>
                      <m:r>
                        <a:rPr lang="en-US" sz="1000" b="0" i="1">
                          <a:latin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</a:rPr>
                        <m:t>𝐴𝑈𝑋</m:t>
                      </m:r>
                      <m:r>
                        <a:rPr lang="en-US" sz="1000" b="0" i="1">
                          <a:latin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</a:rPr>
                        <m:t>𝑅𝑀𝑆</m:t>
                      </m:r>
                      <m:r>
                        <a:rPr lang="en-US" sz="1000" b="0" i="1">
                          <a:latin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</a:rPr>
                        <m:t>𝐶𝑈𝑅𝑅𝐸𝑁𝑇</m:t>
                      </m:r>
                    </m:sub>
                  </m:sSub>
                  <m:r>
                    <a:rPr lang="en-US" sz="1000" b="0" i="1">
                      <a:latin typeface="Cambria Math"/>
                      <a:ea typeface="Cambria Math"/>
                    </a:rPr>
                    <m:t>=</m:t>
                  </m:r>
                  <m:rad>
                    <m:radPr>
                      <m:degHide m:val="on"/>
                      <m:ctrlPr>
                        <a:rPr lang="en-US" sz="1000" b="0" i="1">
                          <a:latin typeface="Cambria Math" panose="02040503050406030204" pitchFamily="18" charset="0"/>
                          <a:ea typeface="Cambria Math"/>
                        </a:rPr>
                      </m:ctrlPr>
                    </m:radPr>
                    <m:deg/>
                    <m:e>
                      <m:nary>
                        <m:naryPr>
                          <m:chr m:val="∑"/>
                          <m:ctrlPr>
                            <a:rPr lang="en-US" sz="1000" b="0" i="1">
                              <a:latin typeface="Cambria Math" panose="02040503050406030204" pitchFamily="18" charset="0"/>
                              <a:ea typeface="Cambria Math"/>
                            </a:rPr>
                          </m:ctrlPr>
                        </m:naryPr>
                        <m:sub>
                          <m:r>
                            <m:rPr>
                              <m:brk m:alnAt="23"/>
                            </m:rPr>
                            <a:rPr lang="en-US" sz="1000" b="0" i="1">
                              <a:latin typeface="Cambria Math"/>
                              <a:ea typeface="Cambria Math"/>
                            </a:rPr>
                            <m:t>𝑛</m:t>
                          </m:r>
                          <m:r>
                            <a:rPr lang="en-US" sz="1000" b="0" i="1">
                              <a:latin typeface="Cambria Math"/>
                              <a:ea typeface="Cambria Math"/>
                            </a:rPr>
                            <m:t>=1</m:t>
                          </m:r>
                        </m:sub>
                        <m:sup>
                          <m:r>
                            <a:rPr lang="en-US" sz="1000" b="0" i="1">
                              <a:latin typeface="Cambria Math"/>
                              <a:ea typeface="Cambria Math"/>
                            </a:rPr>
                            <m:t>𝑛</m:t>
                          </m:r>
                        </m:sup>
                        <m:e>
                          <m:sSubSup>
                            <m:sSubSupPr>
                              <m:ctrlPr>
                                <a:rPr lang="en-US" sz="1000" b="0" i="1">
                                  <a:latin typeface="Cambria Math" panose="02040503050406030204" pitchFamily="18" charset="0"/>
                                  <a:ea typeface="Cambria Math"/>
                                </a:rPr>
                              </m:ctrlPr>
                            </m:sSubSupPr>
                            <m:e>
                              <m:sSubSup>
                                <m:sSubSupPr>
                                  <m:ctrlPr>
                                    <a:rPr lang="en-US" sz="1000" b="0" i="1">
                                      <a:latin typeface="Cambria Math" panose="02040503050406030204" pitchFamily="18" charset="0"/>
                                      <a:ea typeface="Cambria Math"/>
                                    </a:rPr>
                                  </m:ctrlPr>
                                </m:sSubSupPr>
                                <m:e>
                                  <m:r>
                                    <a:rPr lang="en-US" sz="1000" b="0" i="1">
                                      <a:latin typeface="Cambria Math"/>
                                      <a:ea typeface="Cambria Math"/>
                                    </a:rPr>
                                    <m:t>𝐼</m:t>
                                  </m:r>
                                </m:e>
                                <m:sub>
                                  <m:r>
                                    <a:rPr lang="en-US" sz="1000" b="0" i="1">
                                      <a:latin typeface="Cambria Math"/>
                                      <a:ea typeface="Cambria Math"/>
                                    </a:rPr>
                                    <m:t>𝑛</m:t>
                                  </m:r>
                                </m:sub>
                                <m:sup/>
                              </m:sSubSup>
                            </m:e>
                            <m:sub/>
                            <m:sup>
                              <m:r>
                                <a:rPr lang="en-US" sz="1000" b="0" i="1">
                                  <a:latin typeface="Cambria Math"/>
                                  <a:ea typeface="Cambria Math"/>
                                </a:rPr>
                                <m:t>2</m:t>
                              </m:r>
                            </m:sup>
                          </m:sSubSup>
                        </m:e>
                      </m:nary>
                    </m:e>
                  </m:rad>
                </m:oMath>
              </a14:m>
              <a:r>
                <a:rPr lang="en-US" sz="1000" b="0"/>
                <a:t> /N</a:t>
              </a:r>
            </a:p>
          </xdr:txBody>
        </xdr:sp>
      </mc:Choice>
      <mc:Fallback xmlns="">
        <xdr:sp macro="" textlink="">
          <xdr:nvSpPr>
            <xdr:cNvPr id="32" name="TextBox 31"/>
            <xdr:cNvSpPr txBox="1"/>
          </xdr:nvSpPr>
          <xdr:spPr>
            <a:xfrm>
              <a:off x="4638675" y="13163550"/>
              <a:ext cx="2552700" cy="40884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:r>
                <a:rPr lang="en-US" sz="1000" b="0" i="0">
                  <a:latin typeface="Cambria Math"/>
                </a:rPr>
                <a:t>𝐼_(𝐶𝐴𝑃 𝐴𝑈𝑋 𝑅𝑀𝑆 𝐶𝑈𝑅𝑅𝐸𝑁𝑇)</a:t>
              </a:r>
              <a:r>
                <a:rPr lang="en-US" sz="1000" b="0" i="0">
                  <a:latin typeface="Cambria Math"/>
                  <a:ea typeface="Cambria Math"/>
                </a:rPr>
                <a:t>=√(∑_(𝑛=1)^𝑛▒〖𝐼_𝑛^ 〗_^2 )</a:t>
              </a:r>
              <a:r>
                <a:rPr lang="en-US" sz="1000" b="0"/>
                <a:t> /N</a:t>
              </a:r>
            </a:p>
          </xdr:txBody>
        </xdr:sp>
      </mc:Fallback>
    </mc:AlternateContent>
    <xdr:clientData/>
  </xdr:oneCellAnchor>
  <xdr:oneCellAnchor>
    <xdr:from>
      <xdr:col>7</xdr:col>
      <xdr:colOff>576917</xdr:colOff>
      <xdr:row>16</xdr:row>
      <xdr:rowOff>123825</xdr:rowOff>
    </xdr:from>
    <xdr:ext cx="1000125" cy="41992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1" name="TextBox 30">
              <a:extLst>
                <a:ext uri="{FF2B5EF4-FFF2-40B4-BE49-F238E27FC236}">
                  <a16:creationId xmlns:a16="http://schemas.microsoft.com/office/drawing/2014/main" id="{00000000-0008-0000-0200-00001F000000}"/>
                </a:ext>
              </a:extLst>
            </xdr:cNvPr>
            <xdr:cNvSpPr txBox="1"/>
          </xdr:nvSpPr>
          <xdr:spPr>
            <a:xfrm>
              <a:off x="6573526" y="4091195"/>
              <a:ext cx="1000125" cy="4199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r>
                      <a:rPr lang="en-US" sz="1000" b="0" i="1">
                        <a:latin typeface="Cambria Math"/>
                        <a:ea typeface="Cambria Math"/>
                      </a:rPr>
                      <m:t>𝐷𝐹</m:t>
                    </m:r>
                    <m:r>
                      <a:rPr lang="en-US" sz="1000" b="0" i="1">
                        <a:latin typeface="Cambria Math"/>
                        <a:ea typeface="Cambria Math"/>
                      </a:rPr>
                      <m:t>= </m:t>
                    </m:r>
                    <m:f>
                      <m:fPr>
                        <m:ctrlPr>
                          <a:rPr lang="en-US" sz="1000" b="0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fPr>
                      <m:num>
                        <m:r>
                          <a:rPr lang="en-US" sz="1000" b="0" i="1">
                            <a:latin typeface="Cambria Math"/>
                            <a:ea typeface="Cambria Math"/>
                          </a:rPr>
                          <m:t>𝑅</m:t>
                        </m:r>
                      </m:num>
                      <m:den>
                        <m:r>
                          <a:rPr lang="en-US" sz="10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h</m:t>
                        </m:r>
                        <m:r>
                          <a:rPr lang="en-US" sz="1000" b="0" i="1">
                            <a:latin typeface="Cambria Math"/>
                            <a:ea typeface="Cambria Math"/>
                          </a:rPr>
                          <m:t>×</m:t>
                        </m:r>
                        <m:sSub>
                          <m:sSubPr>
                            <m:ctrlPr>
                              <a:rPr lang="en-US" sz="1000" b="0" i="1">
                                <a:latin typeface="Cambria Math" panose="02040503050406030204" pitchFamily="18" charset="0"/>
                                <a:ea typeface="Cambria Math"/>
                              </a:rPr>
                            </m:ctrlPr>
                          </m:sSubPr>
                          <m:e>
                            <m:r>
                              <a:rPr lang="en-US" sz="1000" b="0" i="1">
                                <a:latin typeface="Cambria Math"/>
                                <a:ea typeface="Cambria Math"/>
                              </a:rPr>
                              <m:t>𝑋</m:t>
                            </m:r>
                          </m:e>
                          <m:sub>
                            <m:r>
                              <a:rPr lang="en-US" sz="1000" b="0" i="1">
                                <a:latin typeface="Cambria Math"/>
                                <a:ea typeface="Cambria Math"/>
                              </a:rPr>
                              <m:t>𝐿</m:t>
                            </m:r>
                          </m:sub>
                        </m:sSub>
                      </m:den>
                    </m:f>
                  </m:oMath>
                </m:oMathPara>
              </a14:m>
              <a:endParaRPr lang="en-US" sz="1000" b="0"/>
            </a:p>
          </xdr:txBody>
        </xdr:sp>
      </mc:Choice>
      <mc:Fallback xmlns="">
        <xdr:sp macro="" textlink="">
          <xdr:nvSpPr>
            <xdr:cNvPr id="31" name="TextBox 30"/>
            <xdr:cNvSpPr txBox="1"/>
          </xdr:nvSpPr>
          <xdr:spPr>
            <a:xfrm>
              <a:off x="6573526" y="4091195"/>
              <a:ext cx="1000125" cy="4199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en-US" sz="1000" b="0" i="0">
                  <a:latin typeface="Cambria Math"/>
                  <a:ea typeface="Cambria Math"/>
                </a:rPr>
                <a:t>𝐷𝐹=  𝑅/(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ℎ</a:t>
              </a:r>
              <a:r>
                <a:rPr lang="en-US" sz="1000" b="0" i="0">
                  <a:latin typeface="Cambria Math"/>
                  <a:ea typeface="Cambria Math"/>
                </a:rPr>
                <a:t>×𝑋_𝐿 )</a:t>
              </a:r>
              <a:endParaRPr lang="en-US" sz="1000" b="0"/>
            </a:p>
          </xdr:txBody>
        </xdr:sp>
      </mc:Fallback>
    </mc:AlternateContent>
    <xdr:clientData/>
  </xdr:oneCellAnchor>
  <xdr:oneCellAnchor>
    <xdr:from>
      <xdr:col>4</xdr:col>
      <xdr:colOff>809624</xdr:colOff>
      <xdr:row>33</xdr:row>
      <xdr:rowOff>28575</xdr:rowOff>
    </xdr:from>
    <xdr:ext cx="2409826" cy="264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TextBox 33">
              <a:extLst>
                <a:ext uri="{FF2B5EF4-FFF2-40B4-BE49-F238E27FC236}">
                  <a16:creationId xmlns:a16="http://schemas.microsoft.com/office/drawing/2014/main" id="{00000000-0008-0000-0200-000022000000}"/>
                </a:ext>
              </a:extLst>
            </xdr:cNvPr>
            <xdr:cNvSpPr txBox="1"/>
          </xdr:nvSpPr>
          <xdr:spPr>
            <a:xfrm>
              <a:off x="4610099" y="8382000"/>
              <a:ext cx="2409826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US" sz="110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n-US" sz="1100" b="0" i="1">
                          <a:latin typeface="Cambria Math"/>
                        </a:rPr>
                        <m:t>𝐼</m:t>
                      </m:r>
                    </m:e>
                    <m:sub>
                      <m:r>
                        <a:rPr lang="en-US" sz="1100" b="0" i="1">
                          <a:latin typeface="Cambria Math"/>
                        </a:rPr>
                        <m:t>𝑀𝐴𝐼𝑁</m:t>
                      </m:r>
                      <m:r>
                        <a:rPr lang="en-US" sz="1100" b="0" i="1">
                          <a:latin typeface="Cambria Math"/>
                        </a:rPr>
                        <m:t> </m:t>
                      </m:r>
                      <m:r>
                        <a:rPr lang="en-US" sz="1100" b="0" i="1">
                          <a:latin typeface="Cambria Math"/>
                        </a:rPr>
                        <m:t>𝐹𝑈𝑆𝐸</m:t>
                      </m:r>
                    </m:sub>
                  </m:sSub>
                  <m:r>
                    <a:rPr lang="en-US" sz="1100" i="1">
                      <a:latin typeface="Cambria Math"/>
                      <a:ea typeface="Cambria Math"/>
                    </a:rPr>
                    <m:t>≥</m:t>
                  </m:r>
                  <m:r>
                    <a:rPr lang="en-US" sz="1100" b="0" i="1">
                      <a:latin typeface="Cambria Math"/>
                      <a:ea typeface="Cambria Math"/>
                    </a:rPr>
                    <m:t> </m:t>
                  </m:r>
                  <m:sSub>
                    <m:sSubPr>
                      <m:ctrlPr>
                        <a:rPr lang="en-US" sz="1100" b="0" i="1">
                          <a:latin typeface="Cambria Math" panose="02040503050406030204" pitchFamily="18" charset="0"/>
                          <a:ea typeface="Cambria Math"/>
                        </a:rPr>
                      </m:ctrlPr>
                    </m:sSubPr>
                    <m:e>
                      <m:r>
                        <a:rPr lang="en-US" sz="1100" b="0" i="1">
                          <a:latin typeface="Cambria Math"/>
                          <a:ea typeface="Cambria Math"/>
                        </a:rPr>
                        <m:t>𝐼</m:t>
                      </m:r>
                    </m:e>
                    <m:sub>
                      <m:r>
                        <a:rPr lang="en-US" sz="1100" b="0" i="1">
                          <a:latin typeface="Cambria Math"/>
                          <a:ea typeface="Cambria Math"/>
                        </a:rPr>
                        <m:t>𝐶𝐴𝑃</m:t>
                      </m:r>
                      <m:r>
                        <a:rPr lang="en-US" sz="1100" b="0" i="1">
                          <a:latin typeface="Cambria Math"/>
                          <a:ea typeface="Cambria Math"/>
                        </a:rPr>
                        <m:t> </m:t>
                      </m:r>
                      <m:r>
                        <a:rPr lang="en-US" sz="1100" b="0" i="1">
                          <a:latin typeface="Cambria Math"/>
                          <a:ea typeface="Cambria Math"/>
                        </a:rPr>
                        <m:t>𝑀𝐴𝐼𝑁</m:t>
                      </m:r>
                    </m:sub>
                  </m:sSub>
                  <m:r>
                    <a:rPr lang="en-US" sz="1100" b="0" i="1">
                      <a:latin typeface="Cambria Math"/>
                      <a:ea typeface="Cambria Math"/>
                    </a:rPr>
                    <m:t>×1.8</m:t>
                  </m:r>
                </m:oMath>
              </a14:m>
              <a:r>
                <a:rPr lang="en-US" sz="1100"/>
                <a:t> (amps)</a:t>
              </a:r>
            </a:p>
          </xdr:txBody>
        </xdr:sp>
      </mc:Choice>
      <mc:Fallback xmlns="">
        <xdr:sp macro="" textlink="">
          <xdr:nvSpPr>
            <xdr:cNvPr id="34" name="TextBox 33"/>
            <xdr:cNvSpPr txBox="1"/>
          </xdr:nvSpPr>
          <xdr:spPr>
            <a:xfrm>
              <a:off x="4610099" y="8382000"/>
              <a:ext cx="2409826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en-US" sz="1100" b="0" i="0">
                  <a:latin typeface="Cambria Math"/>
                </a:rPr>
                <a:t>𝐼_(𝑀𝐴𝐼𝑁 𝐹𝑈𝑆𝐸)</a:t>
              </a:r>
              <a:r>
                <a:rPr lang="en-US" sz="1100" i="0">
                  <a:latin typeface="Cambria Math"/>
                  <a:ea typeface="Cambria Math"/>
                </a:rPr>
                <a:t>≥</a:t>
              </a:r>
              <a:r>
                <a:rPr lang="en-US" sz="1100" b="0" i="0">
                  <a:latin typeface="Cambria Math"/>
                  <a:ea typeface="Cambria Math"/>
                </a:rPr>
                <a:t> 𝐼_(𝐶𝐴𝑃 𝑀𝐴𝐼𝑁)×1.8</a:t>
              </a:r>
              <a:r>
                <a:rPr lang="en-US" sz="1100"/>
                <a:t> (amps)</a:t>
              </a:r>
            </a:p>
          </xdr:txBody>
        </xdr:sp>
      </mc:Fallback>
    </mc:AlternateContent>
    <xdr:clientData/>
  </xdr:oneCellAnchor>
  <xdr:twoCellAnchor editAs="oneCell">
    <xdr:from>
      <xdr:col>10</xdr:col>
      <xdr:colOff>1119616</xdr:colOff>
      <xdr:row>59</xdr:row>
      <xdr:rowOff>149931</xdr:rowOff>
    </xdr:from>
    <xdr:to>
      <xdr:col>11</xdr:col>
      <xdr:colOff>1895476</xdr:colOff>
      <xdr:row>60</xdr:row>
      <xdr:rowOff>285750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000"/>
        <a:stretch/>
      </xdr:blipFill>
      <xdr:spPr>
        <a:xfrm>
          <a:off x="8958691" y="16075731"/>
          <a:ext cx="1899810" cy="57396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9</xdr:row>
          <xdr:rowOff>57150</xdr:rowOff>
        </xdr:from>
        <xdr:to>
          <xdr:col>11</xdr:col>
          <xdr:colOff>1962150</xdr:colOff>
          <xdr:row>10</xdr:row>
          <xdr:rowOff>66675</xdr:rowOff>
        </xdr:to>
        <xdr:sp macro="" textlink="">
          <xdr:nvSpPr>
            <xdr:cNvPr id="3073" name="Scroll Bar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xdr:twoCellAnchor>
    <xdr:from>
      <xdr:col>1</xdr:col>
      <xdr:colOff>733426</xdr:colOff>
      <xdr:row>141</xdr:row>
      <xdr:rowOff>95250</xdr:rowOff>
    </xdr:from>
    <xdr:to>
      <xdr:col>11</xdr:col>
      <xdr:colOff>733426</xdr:colOff>
      <xdr:row>164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10</xdr:col>
      <xdr:colOff>1119616</xdr:colOff>
      <xdr:row>136</xdr:row>
      <xdr:rowOff>149931</xdr:rowOff>
    </xdr:from>
    <xdr:to>
      <xdr:col>11</xdr:col>
      <xdr:colOff>1895476</xdr:colOff>
      <xdr:row>137</xdr:row>
      <xdr:rowOff>285749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000"/>
        <a:stretch/>
      </xdr:blipFill>
      <xdr:spPr>
        <a:xfrm>
          <a:off x="8958691" y="15999531"/>
          <a:ext cx="1899810" cy="573969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53</xdr:row>
      <xdr:rowOff>19050</xdr:rowOff>
    </xdr:from>
    <xdr:ext cx="2219325" cy="264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7" name="TextBox 36">
              <a:extLst>
                <a:ext uri="{FF2B5EF4-FFF2-40B4-BE49-F238E27FC236}">
                  <a16:creationId xmlns:a16="http://schemas.microsoft.com/office/drawing/2014/main" id="{00000000-0008-0000-0200-000025000000}"/>
                </a:ext>
              </a:extLst>
            </xdr:cNvPr>
            <xdr:cNvSpPr txBox="1"/>
          </xdr:nvSpPr>
          <xdr:spPr>
            <a:xfrm>
              <a:off x="4629150" y="14058900"/>
              <a:ext cx="2219325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/>
                          </a:rPr>
                          <m:t>𝐼</m:t>
                        </m:r>
                      </m:e>
                      <m:sub>
                        <m:r>
                          <a:rPr lang="en-US" sz="1100" b="0" i="1">
                            <a:latin typeface="Cambria Math"/>
                          </a:rPr>
                          <m:t>𝐴𝑈𝑋</m:t>
                        </m:r>
                        <m:r>
                          <a:rPr lang="en-US" sz="1100" b="0" i="1">
                            <a:latin typeface="Cambria Math"/>
                          </a:rPr>
                          <m:t> </m:t>
                        </m:r>
                        <m:r>
                          <a:rPr lang="en-US" sz="1100" b="0" i="1">
                            <a:latin typeface="Cambria Math"/>
                          </a:rPr>
                          <m:t>𝐹𝑈𝑆𝐸</m:t>
                        </m:r>
                      </m:sub>
                    </m:sSub>
                    <m:r>
                      <a:rPr lang="en-US" sz="1100" i="1">
                        <a:latin typeface="Cambria Math"/>
                        <a:ea typeface="Cambria Math"/>
                      </a:rPr>
                      <m:t>≥</m:t>
                    </m:r>
                    <m:r>
                      <a:rPr lang="en-US" sz="1100" b="0" i="1">
                        <a:latin typeface="Cambria Math"/>
                        <a:ea typeface="Cambria Math"/>
                      </a:rPr>
                      <m:t> </m:t>
                    </m:r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/>
                            <a:ea typeface="Cambria Math"/>
                          </a:rPr>
                          <m:t>𝐼</m:t>
                        </m:r>
                      </m:e>
                      <m:sub>
                        <m:r>
                          <a:rPr lang="en-US" sz="1100" b="0" i="1">
                            <a:latin typeface="Cambria Math"/>
                            <a:ea typeface="Cambria Math"/>
                          </a:rPr>
                          <m:t>𝐶𝐴𝑃</m:t>
                        </m:r>
                        <m:r>
                          <a:rPr lang="en-US" sz="1100" b="0" i="1">
                            <a:latin typeface="Cambria Math"/>
                            <a:ea typeface="Cambria Math"/>
                          </a:rPr>
                          <m:t> </m:t>
                        </m:r>
                        <m:r>
                          <a:rPr lang="en-US" sz="1100" b="0" i="1">
                            <a:latin typeface="Cambria Math"/>
                            <a:ea typeface="Cambria Math"/>
                          </a:rPr>
                          <m:t>𝐴𝑈𝑋</m:t>
                        </m:r>
                      </m:sub>
                    </m:sSub>
                    <m:r>
                      <a:rPr lang="en-US" sz="1100" b="0" i="1">
                        <a:latin typeface="Cambria Math"/>
                        <a:ea typeface="Cambria Math"/>
                      </a:rPr>
                      <m:t>×1.8</m:t>
                    </m: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37" name="TextBox 36"/>
            <xdr:cNvSpPr txBox="1"/>
          </xdr:nvSpPr>
          <xdr:spPr>
            <a:xfrm>
              <a:off x="4629150" y="14058900"/>
              <a:ext cx="2219325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en-US" sz="1100" b="0" i="0">
                  <a:latin typeface="Cambria Math"/>
                </a:rPr>
                <a:t>𝐼_(𝐴𝑈𝑋 𝐹𝑈𝑆𝐸)</a:t>
              </a:r>
              <a:r>
                <a:rPr lang="en-US" sz="1100" i="0">
                  <a:latin typeface="Cambria Math"/>
                  <a:ea typeface="Cambria Math"/>
                </a:rPr>
                <a:t>≥</a:t>
              </a:r>
              <a:r>
                <a:rPr lang="en-US" sz="1100" b="0" i="0">
                  <a:latin typeface="Cambria Math"/>
                  <a:ea typeface="Cambria Math"/>
                </a:rPr>
                <a:t> 𝐼_(𝐶𝐴𝑃 𝐴𝑈𝑋)×1.8</a:t>
              </a:r>
              <a:endParaRPr lang="en-US" sz="1100"/>
            </a:p>
          </xdr:txBody>
        </xdr:sp>
      </mc:Fallback>
    </mc:AlternateContent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14</xdr:row>
          <xdr:rowOff>238125</xdr:rowOff>
        </xdr:from>
        <xdr:to>
          <xdr:col>11</xdr:col>
          <xdr:colOff>9525</xdr:colOff>
          <xdr:row>16</xdr:row>
          <xdr:rowOff>9525</xdr:rowOff>
        </xdr:to>
        <xdr:sp macro="" textlink="">
          <xdr:nvSpPr>
            <xdr:cNvPr id="3074" name="Scroll Bar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xdr:oneCellAnchor>
    <xdr:from>
      <xdr:col>5</xdr:col>
      <xdr:colOff>1104</xdr:colOff>
      <xdr:row>57</xdr:row>
      <xdr:rowOff>371475</xdr:rowOff>
    </xdr:from>
    <xdr:ext cx="2552700" cy="39052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8" name="TextBox 37">
              <a:extLst>
                <a:ext uri="{FF2B5EF4-FFF2-40B4-BE49-F238E27FC236}">
                  <a16:creationId xmlns:a16="http://schemas.microsoft.com/office/drawing/2014/main" id="{00000000-0008-0000-0200-000026000000}"/>
                </a:ext>
              </a:extLst>
            </xdr:cNvPr>
            <xdr:cNvSpPr txBox="1"/>
          </xdr:nvSpPr>
          <xdr:spPr>
            <a:xfrm>
              <a:off x="4617928" y="15880416"/>
              <a:ext cx="2552700" cy="39052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14:m>
                <m:oMath xmlns:m="http://schemas.openxmlformats.org/officeDocument/2006/math">
                  <m:sSub>
                    <m:sSubPr>
                      <m:ctrlPr>
                        <a:rPr lang="en-US" sz="1000" b="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n-US" sz="1000" b="0" i="1">
                          <a:latin typeface="Cambria Math"/>
                        </a:rPr>
                        <m:t>𝑄</m:t>
                      </m:r>
                    </m:e>
                    <m:sub>
                      <m:r>
                        <a:rPr lang="en-US" sz="1000" b="0" i="1">
                          <a:latin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</a:rPr>
                        <m:t>𝐶𝐴𝑃𝐴𝐶𝐼𝑇𝑂𝑅</m:t>
                      </m:r>
                    </m:sub>
                  </m:sSub>
                  <m:r>
                    <a:rPr lang="en-US" sz="1000" b="0" i="1">
                      <a:latin typeface="Cambria Math"/>
                      <a:ea typeface="Cambria Math"/>
                    </a:rPr>
                    <m:t>=</m:t>
                  </m:r>
                  <m:nary>
                    <m:naryPr>
                      <m:chr m:val="∑"/>
                      <m:ctrlP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naryPr>
                    <m:sub>
                      <m:r>
                        <m:rPr>
                          <m:brk m:alnAt="23"/>
                        </m:rP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𝑛</m:t>
                      </m:r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=1</m:t>
                      </m:r>
                    </m:sub>
                    <m:sup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𝑛</m:t>
                      </m:r>
                    </m:sup>
                    <m:e>
                      <m:sSubSup>
                        <m:sSubSupPr>
                          <m:ctrlPr>
                            <a:rPr lang="en-US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SupPr>
                        <m:e>
                          <m:sSubSup>
                            <m:sSubSupPr>
                              <m:ctrlPr>
                                <a:rPr lang="en-US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SupPr>
                            <m:e>
                              <m:f>
                                <m:fPr>
                                  <m:ctrlPr>
                                    <a:rPr lang="en-US" sz="11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fPr>
                                <m:num>
                                  <m:sSub>
                                    <m:sSubPr>
                                      <m:ctrlPr>
                                        <a:rPr lang="en-US" sz="1100" b="0" i="1">
                                          <a:solidFill>
                                            <a:schemeClr val="tx1"/>
                                          </a:solidFill>
                                          <a:effectLst/>
                                          <a:latin typeface="Cambria Math" panose="02040503050406030204" pitchFamily="18" charset="0"/>
                                          <a:ea typeface="+mn-ea"/>
                                          <a:cs typeface="+mn-cs"/>
                                        </a:rPr>
                                      </m:ctrlPr>
                                    </m:sSubPr>
                                    <m:e>
                                      <m:r>
                                        <a:rPr lang="en-US" sz="1100" b="0" i="1">
                                          <a:solidFill>
                                            <a:schemeClr val="tx1"/>
                                          </a:solidFill>
                                          <a:effectLst/>
                                          <a:latin typeface="Cambria Math"/>
                                          <a:ea typeface="+mn-ea"/>
                                          <a:cs typeface="+mn-cs"/>
                                        </a:rPr>
                                        <m:t>𝑋</m:t>
                                      </m:r>
                                    </m:e>
                                    <m:sub>
                                      <m:r>
                                        <a:rPr lang="en-US" sz="1100" b="0" i="1">
                                          <a:solidFill>
                                            <a:schemeClr val="tx1"/>
                                          </a:solidFill>
                                          <a:effectLst/>
                                          <a:latin typeface="Cambria Math"/>
                                          <a:ea typeface="+mn-ea"/>
                                          <a:cs typeface="+mn-cs"/>
                                        </a:rPr>
                                        <m:t>𝑐</m:t>
                                      </m:r>
                                    </m:sub>
                                  </m:sSub>
                                </m:num>
                                <m:den>
                                  <m:r>
                                    <a:rPr lang="en-US" sz="11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/>
                                      <a:ea typeface="+mn-ea"/>
                                      <a:cs typeface="+mn-cs"/>
                                    </a:rPr>
                                    <m:t>𝑛</m:t>
                                  </m:r>
                                </m:den>
                              </m:f>
                              <m:r>
                                <a:rPr lang="en-US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 </m:t>
                              </m:r>
                              <m:r>
                                <a:rPr lang="en-US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𝑥</m:t>
                              </m:r>
                              <m:r>
                                <a:rPr lang="en-US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 </m:t>
                              </m:r>
                              <m:r>
                                <a:rPr lang="en-US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𝐼</m:t>
                              </m:r>
                            </m:e>
                            <m:sub>
                              <m:r>
                                <a:rPr lang="en-US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𝑛</m:t>
                              </m:r>
                            </m:sub>
                            <m:sup/>
                          </m:sSubSup>
                        </m:e>
                        <m:sub/>
                        <m:sup>
                          <m:r>
                            <a:rPr lang="en-US" sz="11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</m:t>
                          </m:r>
                        </m:sup>
                      </m:sSubSup>
                    </m:e>
                  </m:nary>
                </m:oMath>
              </a14:m>
              <a:r>
                <a:rPr lang="en-US" sz="1000" b="0"/>
                <a:t> /1000</a:t>
              </a:r>
            </a:p>
          </xdr:txBody>
        </xdr:sp>
      </mc:Choice>
      <mc:Fallback xmlns="">
        <xdr:sp macro="" textlink="">
          <xdr:nvSpPr>
            <xdr:cNvPr id="38" name="TextBox 37"/>
            <xdr:cNvSpPr txBox="1"/>
          </xdr:nvSpPr>
          <xdr:spPr>
            <a:xfrm>
              <a:off x="4617928" y="15880416"/>
              <a:ext cx="2552700" cy="39052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:r>
                <a:rPr lang="en-US" sz="1000" b="0" i="0">
                  <a:latin typeface="Cambria Math"/>
                </a:rPr>
                <a:t>𝑄_( 𝐶𝐴𝑃𝐴𝐶𝐼𝑇𝑂𝑅)</a:t>
              </a:r>
              <a:r>
                <a:rPr lang="en-US" sz="1000" b="0" i="0">
                  <a:latin typeface="Cambria Math"/>
                  <a:ea typeface="Cambria Math"/>
                </a:rPr>
                <a:t>=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∑_(𝑛=1)^𝑛▒〖〖𝑋_𝑐/𝑛  𝑥 𝐼〗_𝑛^ 〗_^2 </a:t>
              </a:r>
              <a:r>
                <a:rPr lang="en-US" sz="1000" b="0"/>
                <a:t> /1000</a:t>
              </a:r>
            </a:p>
          </xdr:txBody>
        </xdr:sp>
      </mc:Fallback>
    </mc:AlternateContent>
    <xdr:clientData/>
  </xdr:oneCellAnchor>
  <xdr:twoCellAnchor editAs="oneCell">
    <xdr:from>
      <xdr:col>31</xdr:col>
      <xdr:colOff>2401</xdr:colOff>
      <xdr:row>20</xdr:row>
      <xdr:rowOff>220118</xdr:rowOff>
    </xdr:from>
    <xdr:to>
      <xdr:col>38</xdr:col>
      <xdr:colOff>584105</xdr:colOff>
      <xdr:row>36</xdr:row>
      <xdr:rowOff>257787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16019" y="5094677"/>
          <a:ext cx="4817527" cy="4934639"/>
        </a:xfrm>
        <a:prstGeom prst="rect">
          <a:avLst/>
        </a:prstGeom>
      </xdr:spPr>
    </xdr:pic>
    <xdr:clientData/>
  </xdr:twoCellAnchor>
  <xdr:twoCellAnchor>
    <xdr:from>
      <xdr:col>31</xdr:col>
      <xdr:colOff>75815</xdr:colOff>
      <xdr:row>36</xdr:row>
      <xdr:rowOff>276225</xdr:rowOff>
    </xdr:from>
    <xdr:to>
      <xdr:col>38</xdr:col>
      <xdr:colOff>594879</xdr:colOff>
      <xdr:row>52</xdr:row>
      <xdr:rowOff>310862</xdr:rowOff>
    </xdr:to>
    <xdr:pic>
      <xdr:nvPicPr>
        <xdr:cNvPr id="39" name="54EE6E31-29FC-4AE3-946A-F8846341B161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72"/>
        <a:stretch/>
      </xdr:blipFill>
      <xdr:spPr bwMode="auto">
        <a:xfrm>
          <a:off x="30670115" y="10067925"/>
          <a:ext cx="4786264" cy="44447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914400</xdr:colOff>
      <xdr:row>24</xdr:row>
      <xdr:rowOff>57150</xdr:rowOff>
    </xdr:from>
    <xdr:ext cx="1285876" cy="37542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00000000-0008-0000-0300-000002000000}"/>
                </a:ext>
              </a:extLst>
            </xdr:cNvPr>
            <xdr:cNvSpPr txBox="1"/>
          </xdr:nvSpPr>
          <xdr:spPr>
            <a:xfrm>
              <a:off x="4724400" y="5819775"/>
              <a:ext cx="1285876" cy="37542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n-US" sz="1200" b="0" i="1">
                      <a:latin typeface="Cambria Math"/>
                    </a:rPr>
                    <m:t>𝐻</m:t>
                  </m:r>
                  <m:r>
                    <a:rPr lang="en-US" sz="1200" b="0" i="1">
                      <a:latin typeface="Cambria Math"/>
                      <a:ea typeface="Cambria Math"/>
                    </a:rPr>
                    <m:t>=</m:t>
                  </m:r>
                  <m:f>
                    <m:fPr>
                      <m:ctrlPr>
                        <a:rPr lang="en-US" sz="1200" b="0" i="1">
                          <a:latin typeface="Cambria Math" panose="02040503050406030204" pitchFamily="18" charset="0"/>
                          <a:ea typeface="Cambria Math"/>
                        </a:rPr>
                      </m:ctrlPr>
                    </m:fPr>
                    <m:num>
                      <m:sSub>
                        <m:sSubPr>
                          <m:ctrlPr>
                            <a:rPr lang="en-US" sz="1200" b="0" i="1">
                              <a:latin typeface="Cambria Math" panose="02040503050406030204" pitchFamily="18" charset="0"/>
                              <a:ea typeface="Cambria Math"/>
                            </a:rPr>
                          </m:ctrlPr>
                        </m:sSubPr>
                        <m:e>
                          <m:r>
                            <a:rPr lang="en-US" sz="1200" b="0" i="1">
                              <a:latin typeface="Cambria Math"/>
                              <a:ea typeface="Cambria Math"/>
                            </a:rPr>
                            <m:t>𝑋</m:t>
                          </m:r>
                        </m:e>
                        <m:sub>
                          <m:r>
                            <a:rPr lang="en-US" sz="1200" b="0" i="1">
                              <a:latin typeface="Cambria Math"/>
                              <a:ea typeface="Cambria Math"/>
                            </a:rPr>
                            <m:t>𝐿</m:t>
                          </m:r>
                        </m:sub>
                      </m:sSub>
                    </m:num>
                    <m:den>
                      <m:r>
                        <a:rPr lang="en-US" sz="1200" b="0" i="1">
                          <a:latin typeface="Cambria Math"/>
                          <a:ea typeface="Cambria Math"/>
                        </a:rPr>
                        <m:t>2</m:t>
                      </m:r>
                      <m:r>
                        <a:rPr lang="en-US" sz="1200" b="0" i="1">
                          <a:latin typeface="Cambria Math"/>
                          <a:ea typeface="Cambria Math"/>
                        </a:rPr>
                        <m:t>𝜋</m:t>
                      </m:r>
                      <m:r>
                        <a:rPr lang="en-US" sz="1200" b="0" i="1">
                          <a:latin typeface="Cambria Math"/>
                          <a:ea typeface="Cambria Math"/>
                        </a:rPr>
                        <m:t>𝑓</m:t>
                      </m:r>
                    </m:den>
                  </m:f>
                  <m:r>
                    <a:rPr lang="en-US" sz="1200" b="0" i="1">
                      <a:latin typeface="Cambria Math"/>
                      <a:ea typeface="Cambria Math"/>
                    </a:rPr>
                    <m:t>×1000</m:t>
                  </m:r>
                </m:oMath>
              </a14:m>
              <a:r>
                <a:rPr lang="en-US" sz="1200"/>
                <a:t> </a:t>
              </a:r>
            </a:p>
          </xdr:txBody>
        </xdr:sp>
      </mc:Choice>
      <mc:Fallback xmlns="">
        <xdr:sp macro="" textlink="">
          <xdr:nvSpPr>
            <xdr:cNvPr id="2" name="TextBox 1"/>
            <xdr:cNvSpPr txBox="1"/>
          </xdr:nvSpPr>
          <xdr:spPr>
            <a:xfrm>
              <a:off x="4724400" y="5819775"/>
              <a:ext cx="1285876" cy="37542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1200" b="0" i="0">
                  <a:latin typeface="Cambria Math"/>
                </a:rPr>
                <a:t>𝐻</a:t>
              </a:r>
              <a:r>
                <a:rPr lang="en-US" sz="1200" b="0" i="0">
                  <a:latin typeface="Cambria Math"/>
                  <a:ea typeface="Cambria Math"/>
                </a:rPr>
                <a:t>=𝑋_𝐿/2𝜋𝑓×1000</a:t>
              </a:r>
              <a:r>
                <a:rPr lang="en-US" sz="1200"/>
                <a:t> </a:t>
              </a:r>
            </a:p>
          </xdr:txBody>
        </xdr:sp>
      </mc:Fallback>
    </mc:AlternateContent>
    <xdr:clientData/>
  </xdr:oneCellAnchor>
  <xdr:oneCellAnchor>
    <xdr:from>
      <xdr:col>4</xdr:col>
      <xdr:colOff>904874</xdr:colOff>
      <xdr:row>29</xdr:row>
      <xdr:rowOff>57150</xdr:rowOff>
    </xdr:from>
    <xdr:ext cx="2495551" cy="43095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SpPr txBox="1"/>
          </xdr:nvSpPr>
          <xdr:spPr>
            <a:xfrm>
              <a:off x="4724399" y="7058025"/>
              <a:ext cx="2495551" cy="43095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0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sSub>
                          <m:sSubPr>
                            <m:ctrlPr>
                              <a:rPr lang="en-US" sz="10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US" sz="1000" b="0" i="1">
                                <a:latin typeface="Cambria Math"/>
                              </a:rPr>
                              <m:t>𝑄</m:t>
                            </m:r>
                          </m:e>
                          <m:sub>
                            <m:r>
                              <a:rPr lang="en-US" sz="1000" b="0" i="1">
                                <a:latin typeface="Cambria Math"/>
                              </a:rPr>
                              <m:t>𝑅𝐴𝑇𝐸𝐷</m:t>
                            </m:r>
                            <m:r>
                              <a:rPr lang="en-US" sz="1000" b="0" i="1">
                                <a:latin typeface="Cambria Math"/>
                              </a:rPr>
                              <m:t> </m:t>
                            </m:r>
                            <m:r>
                              <a:rPr lang="en-US" sz="1000" b="0" i="1">
                                <a:latin typeface="Cambria Math"/>
                              </a:rPr>
                              <m:t>𝑃𝐸𝑅</m:t>
                            </m:r>
                            <m:r>
                              <a:rPr lang="en-US" sz="1000" b="0" i="1">
                                <a:latin typeface="Cambria Math"/>
                              </a:rPr>
                              <m:t> </m:t>
                            </m:r>
                            <m:r>
                              <a:rPr lang="en-US" sz="1000" b="0" i="1">
                                <a:latin typeface="Cambria Math"/>
                              </a:rPr>
                              <m:t>𝑃𝐻𝐴𝑆𝐸</m:t>
                            </m:r>
                          </m:sub>
                        </m:sSub>
                        <m:r>
                          <a:rPr lang="en-US" sz="1000" b="0" i="1">
                            <a:latin typeface="Cambria Math"/>
                          </a:rPr>
                          <m:t> </m:t>
                        </m:r>
                        <m:r>
                          <a:rPr lang="en-US" sz="1000" b="0" i="1">
                            <a:latin typeface="Cambria Math"/>
                            <a:ea typeface="Cambria Math"/>
                          </a:rPr>
                          <m:t>=</m:t>
                        </m:r>
                        <m:f>
                          <m:fPr>
                            <m:ctrlPr>
                              <a:rPr lang="en-US" sz="1000" b="0" i="1">
                                <a:latin typeface="Cambria Math" panose="02040503050406030204" pitchFamily="18" charset="0"/>
                                <a:ea typeface="Cambria Math"/>
                              </a:rPr>
                            </m:ctrlPr>
                          </m:fPr>
                          <m:num>
                            <m:sSup>
                              <m:sSupPr>
                                <m:ctrlPr>
                                  <a:rPr lang="en-US" sz="10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d>
                                  <m:dPr>
                                    <m:ctrlPr>
                                      <a:rPr lang="en-US" sz="10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dPr>
                                  <m:e>
                                    <m:sSub>
                                      <m:sSubPr>
                                        <m:ctrlPr>
                                          <a:rPr lang="en-US" sz="10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en-US" sz="10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/>
                                            <a:ea typeface="+mn-ea"/>
                                            <a:cs typeface="+mn-cs"/>
                                          </a:rPr>
                                          <m:t>𝑉</m:t>
                                        </m:r>
                                      </m:e>
                                      <m:sub>
                                        <m:r>
                                          <a:rPr lang="en-US" sz="10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/>
                                            <a:ea typeface="+mn-ea"/>
                                            <a:cs typeface="+mn-cs"/>
                                          </a:rPr>
                                          <m:t>𝐶𝐴𝑃</m:t>
                                        </m:r>
                                        <m:r>
                                          <a:rPr lang="en-US" sz="10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/>
                                            <a:ea typeface="+mn-ea"/>
                                            <a:cs typeface="+mn-cs"/>
                                          </a:rPr>
                                          <m:t> </m:t>
                                        </m:r>
                                        <m:r>
                                          <a:rPr lang="en-US" sz="10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/>
                                            <a:ea typeface="+mn-ea"/>
                                            <a:cs typeface="+mn-cs"/>
                                          </a:rPr>
                                          <m:t>𝑅𝐴𝑇𝐼𝑁𝐺</m:t>
                                        </m:r>
                                      </m:sub>
                                    </m:sSub>
                                  </m:e>
                                </m:d>
                              </m:e>
                              <m:sup>
                                <m:r>
                                  <a:rPr lang="en-US" sz="10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2</m:t>
                                </m:r>
                              </m:sup>
                            </m:sSup>
                          </m:num>
                          <m:den>
                            <m:sSub>
                              <m:sSubPr>
                                <m:ctrlPr>
                                  <a:rPr lang="en-US" sz="1000" b="0" i="1">
                                    <a:latin typeface="Cambria Math" panose="02040503050406030204" pitchFamily="18" charset="0"/>
                                    <a:ea typeface="Cambria Math"/>
                                  </a:rPr>
                                </m:ctrlPr>
                              </m:sSubPr>
                              <m:e>
                                <m:r>
                                  <a:rPr lang="en-US" sz="1000" b="0" i="1">
                                    <a:latin typeface="Cambria Math"/>
                                    <a:ea typeface="Cambria Math"/>
                                  </a:rPr>
                                  <m:t>𝑋</m:t>
                                </m:r>
                              </m:e>
                              <m:sub>
                                <m:r>
                                  <a:rPr lang="en-US" sz="1000" b="0" i="1">
                                    <a:latin typeface="Cambria Math"/>
                                    <a:ea typeface="Cambria Math"/>
                                  </a:rPr>
                                  <m:t>𝐶</m:t>
                                </m:r>
                              </m:sub>
                            </m:sSub>
                          </m:den>
                        </m:f>
                        <m:r>
                          <a:rPr lang="en-US" sz="1000" b="0" i="1">
                            <a:latin typeface="Cambria Math"/>
                            <a:ea typeface="Cambria Math"/>
                          </a:rPr>
                          <m:t>×1000</m:t>
                        </m:r>
                      </m:e>
                      <m:sub/>
                    </m:sSub>
                  </m:oMath>
                </m:oMathPara>
              </a14:m>
              <a:endParaRPr lang="en-US" sz="1000" b="0"/>
            </a:p>
          </xdr:txBody>
        </xdr:sp>
      </mc:Choice>
      <mc:Fallback xmlns="">
        <xdr:sp macro="" textlink="">
          <xdr:nvSpPr>
            <xdr:cNvPr id="3" name="TextBox 2"/>
            <xdr:cNvSpPr txBox="1"/>
          </xdr:nvSpPr>
          <xdr:spPr>
            <a:xfrm>
              <a:off x="4724399" y="7058025"/>
              <a:ext cx="2495551" cy="43095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en-US" sz="1000" b="0" i="0">
                  <a:latin typeface="Cambria Math"/>
                </a:rPr>
                <a:t>〖𝑄_(𝑅𝐴𝑇𝐸𝐷 𝑃𝐸𝑅 𝑃𝐻𝐴𝑆𝐸)  </a:t>
              </a:r>
              <a:r>
                <a:rPr lang="en-US" sz="1000" b="0" i="0">
                  <a:latin typeface="Cambria Math"/>
                  <a:ea typeface="Cambria Math"/>
                </a:rPr>
                <a:t>=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(𝑉_(𝐶𝐴𝑃 𝑅𝐴𝑇𝐼𝑁𝐺) )^2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Cambria Math"/>
                  <a:cs typeface="+mn-cs"/>
                </a:rPr>
                <a:t>/</a:t>
              </a:r>
              <a:r>
                <a:rPr lang="en-US" sz="1000" b="0" i="0">
                  <a:latin typeface="Cambria Math"/>
                  <a:ea typeface="Cambria Math"/>
                </a:rPr>
                <a:t>𝑋_𝐶 ×1000〗_</a:t>
              </a:r>
              <a:endParaRPr lang="en-US" sz="1000" b="0"/>
            </a:p>
          </xdr:txBody>
        </xdr:sp>
      </mc:Fallback>
    </mc:AlternateContent>
    <xdr:clientData/>
  </xdr:oneCellAnchor>
  <xdr:oneCellAnchor>
    <xdr:from>
      <xdr:col>4</xdr:col>
      <xdr:colOff>923925</xdr:colOff>
      <xdr:row>34</xdr:row>
      <xdr:rowOff>400050</xdr:rowOff>
    </xdr:from>
    <xdr:ext cx="4419599" cy="24885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00000000-0008-0000-0300-000004000000}"/>
                </a:ext>
              </a:extLst>
            </xdr:cNvPr>
            <xdr:cNvSpPr txBox="1"/>
          </xdr:nvSpPr>
          <xdr:spPr>
            <a:xfrm>
              <a:off x="4724400" y="8743950"/>
              <a:ext cx="4419599" cy="2488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0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m:rPr>
                            <m:sty m:val="p"/>
                          </m:rPr>
                          <a:rPr lang="en-US" sz="1000" b="0" i="0">
                            <a:latin typeface="Cambria Math"/>
                          </a:rPr>
                          <m:t>V</m:t>
                        </m:r>
                      </m:e>
                      <m:sub>
                        <m:r>
                          <m:rPr>
                            <m:sty m:val="p"/>
                          </m:rPr>
                          <a:rPr lang="en-US" sz="1000" b="0" i="0">
                            <a:latin typeface="Cambria Math"/>
                          </a:rPr>
                          <m:t>CAP</m:t>
                        </m:r>
                        <m:r>
                          <a:rPr lang="en-US" sz="1000" b="0" i="0">
                            <a:latin typeface="Cambria Math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US" sz="1000" b="0" i="0">
                            <a:latin typeface="Cambria Math"/>
                          </a:rPr>
                          <m:t>FUNDAMENTAL</m:t>
                        </m:r>
                        <m:r>
                          <a:rPr lang="en-US" sz="1000" b="0" i="0">
                            <a:latin typeface="Cambria Math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US" sz="1000" b="0" i="0">
                            <a:latin typeface="Cambria Math"/>
                          </a:rPr>
                          <m:t>VOLTAGE</m:t>
                        </m:r>
                      </m:sub>
                    </m:sSub>
                    <m:r>
                      <a:rPr lang="en-US" sz="1000" b="0" i="0">
                        <a:latin typeface="Cambria Math"/>
                        <a:ea typeface="Cambria Math"/>
                      </a:rPr>
                      <m:t>=</m:t>
                    </m:r>
                    <m:sSub>
                      <m:sSubPr>
                        <m:ctrlPr>
                          <a:rPr lang="en-US" sz="1000" b="0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sSubPr>
                      <m:e>
                        <m:r>
                          <m:rPr>
                            <m:sty m:val="p"/>
                          </m:rPr>
                          <a:rPr lang="en-US" sz="1000" b="0" i="0">
                            <a:latin typeface="Cambria Math"/>
                            <a:ea typeface="Cambria Math"/>
                          </a:rPr>
                          <m:t>I</m:t>
                        </m:r>
                      </m:e>
                      <m:sub>
                        <m:r>
                          <m:rPr>
                            <m:sty m:val="p"/>
                          </m:rPr>
                          <a:rPr lang="en-US" sz="1000" b="0" i="0">
                            <a:latin typeface="Cambria Math"/>
                            <a:ea typeface="Cambria Math"/>
                          </a:rPr>
                          <m:t>RATED</m:t>
                        </m:r>
                        <m:r>
                          <a:rPr lang="en-US" sz="1000" b="0" i="0">
                            <a:latin typeface="Cambria Math"/>
                            <a:ea typeface="Cambria Math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US" sz="1000" b="0" i="0">
                            <a:latin typeface="Cambria Math"/>
                            <a:ea typeface="Cambria Math"/>
                          </a:rPr>
                          <m:t>FUNDAMENTAL</m:t>
                        </m:r>
                      </m:sub>
                    </m:sSub>
                    <m:r>
                      <a:rPr lang="en-US" sz="1000" b="0" i="0">
                        <a:latin typeface="Cambria Math"/>
                        <a:ea typeface="Cambria Math"/>
                      </a:rPr>
                      <m:t>× </m:t>
                    </m:r>
                    <m:sSub>
                      <m:sSubPr>
                        <m:ctrlPr>
                          <a:rPr lang="en-US" sz="1000" b="0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sSubPr>
                      <m:e>
                        <m:r>
                          <m:rPr>
                            <m:sty m:val="p"/>
                          </m:rPr>
                          <a:rPr lang="en-US" sz="1000" b="0" i="0">
                            <a:latin typeface="Cambria Math"/>
                            <a:ea typeface="Cambria Math"/>
                          </a:rPr>
                          <m:t>X</m:t>
                        </m:r>
                      </m:e>
                      <m:sub>
                        <m:r>
                          <m:rPr>
                            <m:sty m:val="p"/>
                          </m:rPr>
                          <a:rPr lang="en-US" sz="1000" b="0" i="0">
                            <a:latin typeface="Cambria Math"/>
                            <a:ea typeface="Cambria Math"/>
                          </a:rPr>
                          <m:t>C</m:t>
                        </m:r>
                      </m:sub>
                    </m:sSub>
                    <m:r>
                      <a:rPr lang="en-US" sz="1000" b="0" i="1">
                        <a:latin typeface="Cambria Math"/>
                        <a:ea typeface="Cambria Math"/>
                      </a:rPr>
                      <m:t>/1000</m:t>
                    </m:r>
                  </m:oMath>
                </m:oMathPara>
              </a14:m>
              <a:endParaRPr lang="en-US" sz="1000" b="0" i="0"/>
            </a:p>
          </xdr:txBody>
        </xdr:sp>
      </mc:Choice>
      <mc:Fallback xmlns="">
        <xdr:sp macro="" textlink="">
          <xdr:nvSpPr>
            <xdr:cNvPr id="4" name="TextBox 3"/>
            <xdr:cNvSpPr txBox="1"/>
          </xdr:nvSpPr>
          <xdr:spPr>
            <a:xfrm>
              <a:off x="4724400" y="8743950"/>
              <a:ext cx="4419599" cy="2488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en-US" sz="1000" b="0" i="0">
                  <a:latin typeface="Cambria Math"/>
                </a:rPr>
                <a:t>V_(CAP FUNDAMENTAL VOLTAGE)</a:t>
              </a:r>
              <a:r>
                <a:rPr lang="en-US" sz="1000" b="0" i="0">
                  <a:latin typeface="Cambria Math"/>
                  <a:ea typeface="Cambria Math"/>
                </a:rPr>
                <a:t>=I_(RATED FUNDAMENTAL)× X_C/1000</a:t>
              </a:r>
              <a:endParaRPr lang="en-US" sz="1000" b="0" i="0"/>
            </a:p>
          </xdr:txBody>
        </xdr:sp>
      </mc:Fallback>
    </mc:AlternateContent>
    <xdr:clientData/>
  </xdr:oneCellAnchor>
  <xdr:oneCellAnchor>
    <xdr:from>
      <xdr:col>1</xdr:col>
      <xdr:colOff>2571750</xdr:colOff>
      <xdr:row>67</xdr:row>
      <xdr:rowOff>171450</xdr:rowOff>
    </xdr:from>
    <xdr:ext cx="2209800" cy="42383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SpPr txBox="1"/>
          </xdr:nvSpPr>
          <xdr:spPr>
            <a:xfrm>
              <a:off x="2733675" y="16811625"/>
              <a:ext cx="2209800" cy="42383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/>
                          </a:rPr>
                          <m:t>𝑉</m:t>
                        </m:r>
                      </m:e>
                      <m:sub>
                        <m:r>
                          <a:rPr lang="en-US" sz="1100" b="0" i="1">
                            <a:latin typeface="Cambria Math"/>
                          </a:rPr>
                          <m:t>𝐶𝐴𝑃</m:t>
                        </m:r>
                        <m:r>
                          <a:rPr lang="en-US" sz="1100" b="0" i="1">
                            <a:latin typeface="Cambria Math"/>
                          </a:rPr>
                          <m:t> </m:t>
                        </m:r>
                        <m:r>
                          <a:rPr lang="en-US" sz="1100" b="0" i="1">
                            <a:latin typeface="Cambria Math"/>
                          </a:rPr>
                          <m:t>𝐻𝐴𝑅𝑀𝑂𝑁𝐼𝐶</m:t>
                        </m:r>
                        <m:r>
                          <a:rPr lang="en-US" sz="1100" b="0" i="1">
                            <a:latin typeface="Cambria Math"/>
                          </a:rPr>
                          <m:t> </m:t>
                        </m:r>
                        <m:r>
                          <a:rPr lang="en-US" sz="1100" b="0" i="1">
                            <a:latin typeface="Cambria Math"/>
                          </a:rPr>
                          <m:t>𝑉𝑂𝐿𝑇𝐴𝐺𝐸</m:t>
                        </m:r>
                      </m:sub>
                    </m:sSub>
                    <m:r>
                      <a:rPr lang="en-US" sz="1100" b="0" i="1">
                        <a:latin typeface="Cambria Math"/>
                        <a:ea typeface="Cambria Math"/>
                      </a:rPr>
                      <m:t>=</m:t>
                    </m:r>
                    <m:f>
                      <m:fPr>
                        <m:ctrlPr>
                          <a:rPr lang="en-US" sz="1100" b="0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𝑋</m:t>
                            </m:r>
                          </m:e>
                          <m:sub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𝐶</m:t>
                            </m:r>
                          </m:sub>
                        </m:sSub>
                      </m:num>
                      <m:den>
                        <m:r>
                          <a:rPr lang="en-US" sz="1100" b="0" i="1">
                            <a:latin typeface="Cambria Math"/>
                            <a:ea typeface="Cambria Math"/>
                          </a:rPr>
                          <m:t>𝑛</m:t>
                        </m:r>
                      </m:den>
                    </m:f>
                    <m:r>
                      <a:rPr lang="en-US" sz="1100" b="0" i="1">
                        <a:latin typeface="Cambria Math"/>
                        <a:ea typeface="Cambria Math"/>
                      </a:rPr>
                      <m:t>×</m:t>
                    </m:r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/>
                            <a:ea typeface="Cambria Math"/>
                          </a:rPr>
                          <m:t>𝐼</m:t>
                        </m:r>
                      </m:e>
                      <m:sub>
                        <m:r>
                          <a:rPr lang="en-US" sz="1100" b="0" i="1">
                            <a:latin typeface="Cambria Math"/>
                            <a:ea typeface="Cambria Math"/>
                          </a:rPr>
                          <m:t>𝑛</m:t>
                        </m:r>
                      </m:sub>
                    </m:sSub>
                  </m:oMath>
                </m:oMathPara>
              </a14:m>
              <a:endParaRPr lang="en-US" sz="1100" b="0"/>
            </a:p>
          </xdr:txBody>
        </xdr:sp>
      </mc:Choice>
      <mc:Fallback xmlns="">
        <xdr:sp macro="" textlink="">
          <xdr:nvSpPr>
            <xdr:cNvPr id="5" name="TextBox 4"/>
            <xdr:cNvSpPr txBox="1"/>
          </xdr:nvSpPr>
          <xdr:spPr>
            <a:xfrm>
              <a:off x="2733675" y="16811625"/>
              <a:ext cx="2209800" cy="42383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en-US" sz="1100" b="0" i="0">
                  <a:latin typeface="Cambria Math"/>
                </a:rPr>
                <a:t>𝑉_(𝐶𝐴𝑃 𝐻𝐴𝑅𝑀𝑂𝑁𝐼𝐶 𝑉𝑂𝐿𝑇𝐴𝐺𝐸)</a:t>
              </a:r>
              <a:r>
                <a:rPr lang="en-US" sz="1100" b="0" i="0">
                  <a:latin typeface="Cambria Math"/>
                  <a:ea typeface="Cambria Math"/>
                </a:rPr>
                <a:t>=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𝑋_𝐶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Cambria Math"/>
                  <a:cs typeface="+mn-cs"/>
                </a:rPr>
                <a:t>/</a:t>
              </a:r>
              <a:r>
                <a:rPr lang="en-US" sz="1100" b="0" i="0">
                  <a:latin typeface="Cambria Math"/>
                  <a:ea typeface="Cambria Math"/>
                </a:rPr>
                <a:t>𝑛×𝐼_𝑛</a:t>
              </a:r>
              <a:endParaRPr lang="en-US" sz="1100" b="0"/>
            </a:p>
          </xdr:txBody>
        </xdr:sp>
      </mc:Fallback>
    </mc:AlternateContent>
    <xdr:clientData/>
  </xdr:oneCellAnchor>
  <xdr:oneCellAnchor>
    <xdr:from>
      <xdr:col>4</xdr:col>
      <xdr:colOff>914401</xdr:colOff>
      <xdr:row>32</xdr:row>
      <xdr:rowOff>133350</xdr:rowOff>
    </xdr:from>
    <xdr:ext cx="1724024" cy="3794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00000000-0008-0000-0300-000006000000}"/>
                </a:ext>
              </a:extLst>
            </xdr:cNvPr>
            <xdr:cNvSpPr txBox="1"/>
          </xdr:nvSpPr>
          <xdr:spPr>
            <a:xfrm>
              <a:off x="4724401" y="7781925"/>
              <a:ext cx="1724024" cy="3794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0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000" b="0" i="1">
                            <a:latin typeface="Cambria Math"/>
                          </a:rPr>
                          <m:t>𝐼</m:t>
                        </m:r>
                      </m:e>
                      <m:sub>
                        <m:r>
                          <a:rPr lang="en-US" sz="1000" b="0" i="1">
                            <a:latin typeface="Cambria Math"/>
                          </a:rPr>
                          <m:t>𝐶𝐴𝑃</m:t>
                        </m:r>
                      </m:sub>
                    </m:sSub>
                    <m:r>
                      <a:rPr lang="en-US" sz="1000" b="0" i="1">
                        <a:latin typeface="Cambria Math"/>
                        <a:ea typeface="Cambria Math"/>
                      </a:rPr>
                      <m:t>= </m:t>
                    </m:r>
                    <m:f>
                      <m:fPr>
                        <m:ctrlPr>
                          <a:rPr lang="en-US" sz="1000" b="0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US" sz="10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0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𝐼</m:t>
                            </m:r>
                          </m:e>
                          <m:sub>
                            <m:r>
                              <a:rPr lang="en-US" sz="10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𝑅𝐴𝑇𝐸𝐷</m:t>
                            </m:r>
                            <m:r>
                              <a:rPr lang="en-US" sz="10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 </m:t>
                            </m:r>
                            <m:r>
                              <a:rPr lang="en-US" sz="10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𝐹𝑈𝑁𝐷𝐴𝑀𝐸𝑁𝑇𝐴𝐿</m:t>
                            </m:r>
                          </m:sub>
                        </m:sSub>
                      </m:num>
                      <m:den>
                        <m:r>
                          <a:rPr lang="en-US" sz="10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𝑁</m:t>
                        </m:r>
                      </m:den>
                    </m:f>
                  </m:oMath>
                </m:oMathPara>
              </a14:m>
              <a:endParaRPr lang="en-US" sz="1000" b="0"/>
            </a:p>
          </xdr:txBody>
        </xdr:sp>
      </mc:Choice>
      <mc:Fallback xmlns="">
        <xdr:sp macro="" textlink="">
          <xdr:nvSpPr>
            <xdr:cNvPr id="6" name="TextBox 5"/>
            <xdr:cNvSpPr txBox="1"/>
          </xdr:nvSpPr>
          <xdr:spPr>
            <a:xfrm>
              <a:off x="4724401" y="7781925"/>
              <a:ext cx="1724024" cy="3794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en-US" sz="1000" b="0" i="0">
                  <a:latin typeface="Cambria Math"/>
                </a:rPr>
                <a:t>𝐼_𝐶𝐴𝑃</a:t>
              </a:r>
              <a:r>
                <a:rPr lang="en-US" sz="1000" b="0" i="0">
                  <a:latin typeface="Cambria Math"/>
                  <a:ea typeface="Cambria Math"/>
                </a:rPr>
                <a:t>= 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 𝐼_(𝑅𝐴𝑇𝐸𝐷 𝐹𝑈𝑁𝐷𝐴𝑀𝐸𝑁𝑇𝐴𝐿)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Cambria Math"/>
                  <a:cs typeface="+mn-cs"/>
                </a:rPr>
                <a:t>/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𝑁</a:t>
              </a:r>
              <a:endParaRPr lang="en-US" sz="1000" b="0"/>
            </a:p>
          </xdr:txBody>
        </xdr:sp>
      </mc:Fallback>
    </mc:AlternateContent>
    <xdr:clientData/>
  </xdr:oneCellAnchor>
  <xdr:oneCellAnchor>
    <xdr:from>
      <xdr:col>5</xdr:col>
      <xdr:colOff>133350</xdr:colOff>
      <xdr:row>67</xdr:row>
      <xdr:rowOff>171450</xdr:rowOff>
    </xdr:from>
    <xdr:ext cx="2209800" cy="43890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300-000007000000}"/>
                </a:ext>
              </a:extLst>
            </xdr:cNvPr>
            <xdr:cNvSpPr txBox="1"/>
          </xdr:nvSpPr>
          <xdr:spPr>
            <a:xfrm>
              <a:off x="4857750" y="16811625"/>
              <a:ext cx="2209800" cy="43890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/>
                          </a:rPr>
                          <m:t>𝐼</m:t>
                        </m:r>
                      </m:e>
                      <m:sub>
                        <m:r>
                          <a:rPr lang="en-US" sz="1100" b="0" i="1">
                            <a:latin typeface="Cambria Math"/>
                          </a:rPr>
                          <m:t>𝑅𝐸𝑆𝐼𝑆𝑇𝑂𝑅</m:t>
                        </m:r>
                        <m:r>
                          <a:rPr lang="en-US" sz="1100" b="0" i="1">
                            <a:latin typeface="Cambria Math"/>
                          </a:rPr>
                          <m:t> (</m:t>
                        </m:r>
                        <m:r>
                          <a:rPr lang="en-US" sz="1100" b="0" i="1">
                            <a:latin typeface="Cambria Math"/>
                          </a:rPr>
                          <m:t>𝑛</m:t>
                        </m:r>
                        <m:r>
                          <a:rPr lang="en-US" sz="1100" b="0" i="1">
                            <a:latin typeface="Cambria Math"/>
                          </a:rPr>
                          <m:t>)</m:t>
                        </m:r>
                      </m:sub>
                    </m:sSub>
                    <m:r>
                      <a:rPr lang="en-US" sz="1100" b="0" i="1">
                        <a:latin typeface="Cambria Math"/>
                        <a:ea typeface="Cambria Math"/>
                      </a:rPr>
                      <m:t>=</m:t>
                    </m:r>
                    <m:f>
                      <m:fPr>
                        <m:ctrlPr>
                          <a:rPr lang="en-US" sz="1100" b="0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𝑋</m:t>
                            </m:r>
                          </m:e>
                          <m:sub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𝐿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𝑅</m:t>
                            </m:r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+</m:t>
                            </m:r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𝑗𝑋</m:t>
                            </m:r>
                          </m:e>
                          <m:sub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𝐿</m:t>
                            </m:r>
                          </m:sub>
                        </m:sSub>
                      </m:den>
                    </m:f>
                    <m:r>
                      <a:rPr lang="en-US" sz="1100" b="0" i="1">
                        <a:latin typeface="Cambria Math"/>
                        <a:ea typeface="Cambria Math"/>
                      </a:rPr>
                      <m:t>×</m:t>
                    </m:r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/>
                            <a:ea typeface="Cambria Math"/>
                          </a:rPr>
                          <m:t>𝐼</m:t>
                        </m:r>
                      </m:e>
                      <m:sub>
                        <m:r>
                          <a:rPr lang="en-US" sz="1100" b="0" i="1">
                            <a:latin typeface="Cambria Math"/>
                            <a:ea typeface="Cambria Math"/>
                          </a:rPr>
                          <m:t>𝑛</m:t>
                        </m:r>
                      </m:sub>
                    </m:sSub>
                  </m:oMath>
                </m:oMathPara>
              </a14:m>
              <a:endParaRPr lang="en-US" sz="1100" b="0"/>
            </a:p>
          </xdr:txBody>
        </xdr:sp>
      </mc:Choice>
      <mc:Fallback xmlns="">
        <xdr:sp macro="" textlink="">
          <xdr:nvSpPr>
            <xdr:cNvPr id="7" name="TextBox 6"/>
            <xdr:cNvSpPr txBox="1"/>
          </xdr:nvSpPr>
          <xdr:spPr>
            <a:xfrm>
              <a:off x="4857750" y="16811625"/>
              <a:ext cx="2209800" cy="43890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en-US" sz="1100" b="0" i="0">
                  <a:latin typeface="Cambria Math"/>
                </a:rPr>
                <a:t>𝐼_(𝑅𝐸𝑆𝐼𝑆𝑇𝑂𝑅 (𝑛))</a:t>
              </a:r>
              <a:r>
                <a:rPr lang="en-US" sz="1100" b="0" i="0">
                  <a:latin typeface="Cambria Math"/>
                  <a:ea typeface="Cambria Math"/>
                </a:rPr>
                <a:t>=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𝑋_𝐿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Cambria Math"/>
                  <a:cs typeface="+mn-cs"/>
                </a:rPr>
                <a:t>/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〖𝑅+𝑗𝑋〗_𝐿 </a:t>
              </a:r>
              <a:r>
                <a:rPr lang="en-US" sz="1100" b="0" i="0">
                  <a:latin typeface="Cambria Math"/>
                  <a:ea typeface="Cambria Math"/>
                </a:rPr>
                <a:t>×𝐼_𝑛</a:t>
              </a:r>
              <a:endParaRPr lang="en-US" sz="1100" b="0"/>
            </a:p>
          </xdr:txBody>
        </xdr:sp>
      </mc:Fallback>
    </mc:AlternateContent>
    <xdr:clientData/>
  </xdr:oneCellAnchor>
  <xdr:oneCellAnchor>
    <xdr:from>
      <xdr:col>7</xdr:col>
      <xdr:colOff>647700</xdr:colOff>
      <xdr:row>67</xdr:row>
      <xdr:rowOff>161925</xdr:rowOff>
    </xdr:from>
    <xdr:ext cx="2209800" cy="45461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300-000008000000}"/>
                </a:ext>
              </a:extLst>
            </xdr:cNvPr>
            <xdr:cNvSpPr txBox="1"/>
          </xdr:nvSpPr>
          <xdr:spPr>
            <a:xfrm>
              <a:off x="6705600" y="16802100"/>
              <a:ext cx="2209800" cy="45461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/>
                          </a:rPr>
                          <m:t>𝐼</m:t>
                        </m:r>
                      </m:e>
                      <m:sub>
                        <m:r>
                          <a:rPr lang="en-US" sz="1100" b="0" i="1">
                            <a:latin typeface="Cambria Math"/>
                          </a:rPr>
                          <m:t>𝑅𝐸𝐴𝐶𝑇𝑂𝑅</m:t>
                        </m:r>
                        <m:r>
                          <a:rPr lang="en-US" sz="1100" b="0" i="1">
                            <a:latin typeface="Cambria Math"/>
                          </a:rPr>
                          <m:t> (</m:t>
                        </m:r>
                        <m:r>
                          <a:rPr lang="en-US" sz="1100" b="0" i="1">
                            <a:latin typeface="Cambria Math"/>
                          </a:rPr>
                          <m:t>𝑛</m:t>
                        </m:r>
                        <m:r>
                          <a:rPr lang="en-US" sz="1100" b="0" i="1">
                            <a:latin typeface="Cambria Math"/>
                          </a:rPr>
                          <m:t>)</m:t>
                        </m:r>
                      </m:sub>
                    </m:sSub>
                    <m:r>
                      <a:rPr lang="en-US" sz="1100" b="0" i="1">
                        <a:latin typeface="Cambria Math"/>
                        <a:ea typeface="Cambria Math"/>
                      </a:rPr>
                      <m:t>=</m:t>
                    </m:r>
                    <m:f>
                      <m:fPr>
                        <m:ctrlPr>
                          <a:rPr lang="en-US" sz="1100" b="0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fPr>
                      <m:num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𝑅</m:t>
                        </m:r>
                      </m:num>
                      <m:den>
                        <m:sSub>
                          <m:sSubPr>
                            <m:ctrlP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𝑅</m:t>
                            </m:r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+</m:t>
                            </m:r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𝑗𝑋</m:t>
                            </m:r>
                          </m:e>
                          <m:sub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𝐿</m:t>
                            </m:r>
                          </m:sub>
                        </m:sSub>
                      </m:den>
                    </m:f>
                    <m:r>
                      <a:rPr lang="en-US" sz="1100" b="0" i="1">
                        <a:latin typeface="Cambria Math"/>
                        <a:ea typeface="Cambria Math"/>
                      </a:rPr>
                      <m:t>×</m:t>
                    </m:r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/>
                            <a:ea typeface="Cambria Math"/>
                          </a:rPr>
                          <m:t>𝐼</m:t>
                        </m:r>
                      </m:e>
                      <m:sub>
                        <m:r>
                          <a:rPr lang="en-US" sz="1100" b="0" i="1">
                            <a:latin typeface="Cambria Math"/>
                            <a:ea typeface="Cambria Math"/>
                          </a:rPr>
                          <m:t>𝑛</m:t>
                        </m:r>
                      </m:sub>
                    </m:sSub>
                  </m:oMath>
                </m:oMathPara>
              </a14:m>
              <a:endParaRPr lang="en-US" sz="1100" b="0"/>
            </a:p>
          </xdr:txBody>
        </xdr:sp>
      </mc:Choice>
      <mc:Fallback xmlns="">
        <xdr:sp macro="" textlink="">
          <xdr:nvSpPr>
            <xdr:cNvPr id="8" name="TextBox 7"/>
            <xdr:cNvSpPr txBox="1"/>
          </xdr:nvSpPr>
          <xdr:spPr>
            <a:xfrm>
              <a:off x="6705600" y="16802100"/>
              <a:ext cx="2209800" cy="45461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en-US" sz="1100" b="0" i="0">
                  <a:latin typeface="Cambria Math"/>
                </a:rPr>
                <a:t>𝐼_(𝑅𝐸𝐴𝐶𝑇𝑂𝑅 (𝑛))</a:t>
              </a:r>
              <a:r>
                <a:rPr lang="en-US" sz="1100" b="0" i="0">
                  <a:latin typeface="Cambria Math"/>
                  <a:ea typeface="Cambria Math"/>
                </a:rPr>
                <a:t>=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Cambria Math"/>
                  <a:cs typeface="+mn-cs"/>
                </a:rPr>
                <a:t>/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〖𝑅+𝑗𝑋〗_𝐿 </a:t>
              </a:r>
              <a:r>
                <a:rPr lang="en-US" sz="1100" b="0" i="0">
                  <a:latin typeface="Cambria Math"/>
                  <a:ea typeface="Cambria Math"/>
                </a:rPr>
                <a:t>×𝐼_𝑛</a:t>
              </a:r>
              <a:endParaRPr lang="en-US" sz="1100" b="0"/>
            </a:p>
          </xdr:txBody>
        </xdr:sp>
      </mc:Fallback>
    </mc:AlternateContent>
    <xdr:clientData/>
  </xdr:oneCellAnchor>
  <xdr:twoCellAnchor editAs="oneCell">
    <xdr:from>
      <xdr:col>9</xdr:col>
      <xdr:colOff>594444</xdr:colOff>
      <xdr:row>0</xdr:row>
      <xdr:rowOff>59981</xdr:rowOff>
    </xdr:from>
    <xdr:to>
      <xdr:col>11</xdr:col>
      <xdr:colOff>1422370</xdr:colOff>
      <xdr:row>2</xdr:row>
      <xdr:rowOff>447675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2044" y="59981"/>
          <a:ext cx="2532900" cy="940144"/>
        </a:xfrm>
        <a:prstGeom prst="rect">
          <a:avLst/>
        </a:prstGeom>
      </xdr:spPr>
    </xdr:pic>
    <xdr:clientData/>
  </xdr:twoCellAnchor>
  <xdr:oneCellAnchor>
    <xdr:from>
      <xdr:col>4</xdr:col>
      <xdr:colOff>933450</xdr:colOff>
      <xdr:row>11</xdr:row>
      <xdr:rowOff>142875</xdr:rowOff>
    </xdr:from>
    <xdr:ext cx="1724025" cy="6296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00000000-0008-0000-0300-00000A000000}"/>
                </a:ext>
              </a:extLst>
            </xdr:cNvPr>
            <xdr:cNvSpPr txBox="1"/>
          </xdr:nvSpPr>
          <xdr:spPr>
            <a:xfrm>
              <a:off x="4724400" y="2990850"/>
              <a:ext cx="1724025" cy="6296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0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000" b="0" i="1">
                            <a:latin typeface="Cambria Math"/>
                          </a:rPr>
                          <m:t>𝑋</m:t>
                        </m:r>
                      </m:e>
                      <m:sub>
                        <m:r>
                          <a:rPr lang="en-US" sz="1000" b="0" i="1">
                            <a:latin typeface="Cambria Math"/>
                          </a:rPr>
                          <m:t>𝑒𝑓𝑓</m:t>
                        </m:r>
                      </m:sub>
                    </m:sSub>
                    <m:r>
                      <a:rPr lang="en-US" sz="1000" b="0" i="1">
                        <a:latin typeface="Cambria Math"/>
                        <a:ea typeface="Cambria Math"/>
                      </a:rPr>
                      <m:t>= </m:t>
                    </m:r>
                    <m:f>
                      <m:fPr>
                        <m:ctrlPr>
                          <a:rPr lang="en-US" sz="1000" b="0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fPr>
                      <m:num>
                        <m:sSup>
                          <m:sSupPr>
                            <m:ctrlP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sSub>
                              <m:sSubPr>
                                <m:ctrlPr>
                                  <a:rPr lang="en-US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𝑘𝑉</m:t>
                                </m:r>
                              </m:e>
                              <m:sub>
                                <m:r>
                                  <a:rPr lang="en-US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𝐿𝐿𝑆𝑌𝑆</m:t>
                                </m:r>
                              </m:sub>
                            </m:sSub>
                          </m:e>
                          <m:sup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p>
                      </m:num>
                      <m:den>
                        <m:sSub>
                          <m:sSubPr>
                            <m:ctrlPr>
                              <a:rPr lang="en-US" sz="10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0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𝑄</m:t>
                            </m:r>
                          </m:e>
                          <m:sub>
                            <m:r>
                              <a:rPr lang="en-US" sz="10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𝑒𝑓𝑓</m:t>
                            </m:r>
                          </m:sub>
                        </m:sSub>
                        <m:r>
                          <a:rPr lang="en-US" sz="10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(</m:t>
                        </m:r>
                        <m:r>
                          <a:rPr lang="en-US" sz="10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𝑀𝑉𝐴𝑅</m:t>
                        </m:r>
                        <m:r>
                          <a:rPr lang="en-US" sz="10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)</m:t>
                        </m:r>
                      </m:den>
                    </m:f>
                    <m:r>
                      <a:rPr lang="en-US" sz="1000" b="0" i="1">
                        <a:latin typeface="Cambria Math"/>
                        <a:ea typeface="Cambria Math"/>
                      </a:rPr>
                      <m:t>×1000</m:t>
                    </m:r>
                  </m:oMath>
                </m:oMathPara>
              </a14:m>
              <a:endParaRPr lang="en-US" sz="1000" b="0"/>
            </a:p>
          </xdr:txBody>
        </xdr:sp>
      </mc:Choice>
      <mc:Fallback xmlns="">
        <xdr:sp macro="" textlink="">
          <xdr:nvSpPr>
            <xdr:cNvPr id="10" name="TextBox 9"/>
            <xdr:cNvSpPr txBox="1"/>
          </xdr:nvSpPr>
          <xdr:spPr>
            <a:xfrm>
              <a:off x="4724400" y="2990850"/>
              <a:ext cx="1724025" cy="6296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en-US" sz="1000" b="0" i="0">
                  <a:latin typeface="Cambria Math"/>
                </a:rPr>
                <a:t>𝑋_𝑒𝑓𝑓</a:t>
              </a:r>
              <a:r>
                <a:rPr lang="en-US" sz="1000" b="0" i="0">
                  <a:latin typeface="Cambria Math"/>
                  <a:ea typeface="Cambria Math"/>
                </a:rPr>
                <a:t>= 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 〖〖𝑘𝑉〗_𝐿𝐿𝑆𝑌𝑆〗^2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Cambria Math"/>
                  <a:cs typeface="+mn-cs"/>
                </a:rPr>
                <a:t>/(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𝑄_𝑒𝑓𝑓 (𝑀𝑉𝐴𝑅)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Cambria Math"/>
                  <a:cs typeface="+mn-cs"/>
                </a:rPr>
                <a:t>)</a:t>
              </a:r>
              <a:r>
                <a:rPr lang="en-US" sz="1000" b="0" i="0">
                  <a:latin typeface="Cambria Math"/>
                  <a:ea typeface="Cambria Math"/>
                </a:rPr>
                <a:t>×1000</a:t>
              </a:r>
              <a:endParaRPr lang="en-US" sz="1000" b="0"/>
            </a:p>
          </xdr:txBody>
        </xdr:sp>
      </mc:Fallback>
    </mc:AlternateContent>
    <xdr:clientData/>
  </xdr:oneCellAnchor>
  <xdr:oneCellAnchor>
    <xdr:from>
      <xdr:col>4</xdr:col>
      <xdr:colOff>933450</xdr:colOff>
      <xdr:row>13</xdr:row>
      <xdr:rowOff>219075</xdr:rowOff>
    </xdr:from>
    <xdr:ext cx="1952625" cy="51288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TextBox 10">
              <a:extLst>
                <a:ext uri="{FF2B5EF4-FFF2-40B4-BE49-F238E27FC236}">
                  <a16:creationId xmlns:a16="http://schemas.microsoft.com/office/drawing/2014/main" id="{00000000-0008-0000-0300-00000B000000}"/>
                </a:ext>
              </a:extLst>
            </xdr:cNvPr>
            <xdr:cNvSpPr txBox="1"/>
          </xdr:nvSpPr>
          <xdr:spPr>
            <a:xfrm>
              <a:off x="4724400" y="3524250"/>
              <a:ext cx="1952625" cy="5128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14:m>
                <m:oMath xmlns:m="http://schemas.openxmlformats.org/officeDocument/2006/math">
                  <m:sSub>
                    <m:sSubPr>
                      <m:ctrlPr>
                        <a:rPr lang="en-US" sz="1000" b="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n-US" sz="1000" b="0" i="1">
                          <a:latin typeface="Cambria Math"/>
                        </a:rPr>
                        <m:t>𝐼</m:t>
                      </m:r>
                    </m:e>
                    <m:sub>
                      <m:r>
                        <a:rPr lang="en-US" sz="1000" b="0" i="1">
                          <a:latin typeface="Cambria Math"/>
                        </a:rPr>
                        <m:t>𝐹𝐼𝐿𝑇𝐸𝑅</m:t>
                      </m:r>
                      <m:r>
                        <a:rPr lang="en-US" sz="1000" b="0" i="1">
                          <a:latin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</a:rPr>
                        <m:t>𝑅𝑀𝑆</m:t>
                      </m:r>
                      <m:r>
                        <a:rPr lang="en-US" sz="1000" b="0" i="1">
                          <a:latin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</a:rPr>
                        <m:t>𝐶𝑈𝑅𝑅𝐸𝑁𝑇</m:t>
                      </m:r>
                    </m:sub>
                  </m:sSub>
                  <m:r>
                    <a:rPr lang="en-US" sz="1000" b="0" i="1">
                      <a:latin typeface="Cambria Math"/>
                      <a:ea typeface="Cambria Math"/>
                    </a:rPr>
                    <m:t>=</m:t>
                  </m:r>
                  <m:rad>
                    <m:radPr>
                      <m:degHide m:val="on"/>
                      <m:ctrlPr>
                        <a:rPr lang="en-US" sz="1000" b="0" i="1">
                          <a:latin typeface="Cambria Math" panose="02040503050406030204" pitchFamily="18" charset="0"/>
                          <a:ea typeface="Cambria Math"/>
                        </a:rPr>
                      </m:ctrlPr>
                    </m:radPr>
                    <m:deg/>
                    <m:e>
                      <m:nary>
                        <m:naryPr>
                          <m:chr m:val="∑"/>
                          <m:ctrlPr>
                            <a:rPr lang="en-US" sz="1000" b="0" i="1">
                              <a:latin typeface="Cambria Math" panose="02040503050406030204" pitchFamily="18" charset="0"/>
                              <a:ea typeface="Cambria Math"/>
                            </a:rPr>
                          </m:ctrlPr>
                        </m:naryPr>
                        <m:sub>
                          <m:r>
                            <m:rPr>
                              <m:brk m:alnAt="23"/>
                            </m:rPr>
                            <a:rPr lang="en-US" sz="1000" b="0" i="1">
                              <a:latin typeface="Cambria Math"/>
                              <a:ea typeface="Cambria Math"/>
                            </a:rPr>
                            <m:t>𝑛</m:t>
                          </m:r>
                          <m:r>
                            <a:rPr lang="en-US" sz="1000" b="0" i="1">
                              <a:latin typeface="Cambria Math"/>
                              <a:ea typeface="Cambria Math"/>
                            </a:rPr>
                            <m:t>=1</m:t>
                          </m:r>
                        </m:sub>
                        <m:sup>
                          <m:r>
                            <a:rPr lang="en-US" sz="1000" b="0" i="1">
                              <a:latin typeface="Cambria Math"/>
                              <a:ea typeface="Cambria Math"/>
                            </a:rPr>
                            <m:t>𝑛</m:t>
                          </m:r>
                        </m:sup>
                        <m:e>
                          <m:sSubSup>
                            <m:sSubSupPr>
                              <m:ctrlPr>
                                <a:rPr lang="en-US" sz="1000" b="0" i="1">
                                  <a:latin typeface="Cambria Math" panose="02040503050406030204" pitchFamily="18" charset="0"/>
                                  <a:ea typeface="Cambria Math"/>
                                </a:rPr>
                              </m:ctrlPr>
                            </m:sSubSupPr>
                            <m:e>
                              <m:sSubSup>
                                <m:sSubSupPr>
                                  <m:ctrlPr>
                                    <a:rPr lang="en-US" sz="1000" b="0" i="1">
                                      <a:latin typeface="Cambria Math" panose="02040503050406030204" pitchFamily="18" charset="0"/>
                                      <a:ea typeface="Cambria Math"/>
                                    </a:rPr>
                                  </m:ctrlPr>
                                </m:sSubSupPr>
                                <m:e>
                                  <m:r>
                                    <a:rPr lang="en-US" sz="1000" b="0" i="1">
                                      <a:latin typeface="Cambria Math"/>
                                      <a:ea typeface="Cambria Math"/>
                                    </a:rPr>
                                    <m:t>𝐼</m:t>
                                  </m:r>
                                </m:e>
                                <m:sub>
                                  <m:r>
                                    <a:rPr lang="en-US" sz="1000" b="0" i="1">
                                      <a:latin typeface="Cambria Math"/>
                                      <a:ea typeface="Cambria Math"/>
                                    </a:rPr>
                                    <m:t>𝑛</m:t>
                                  </m:r>
                                </m:sub>
                                <m:sup/>
                              </m:sSubSup>
                            </m:e>
                            <m:sub/>
                            <m:sup>
                              <m:r>
                                <a:rPr lang="en-US" sz="1000" b="0" i="1">
                                  <a:latin typeface="Cambria Math"/>
                                  <a:ea typeface="Cambria Math"/>
                                </a:rPr>
                                <m:t>2</m:t>
                              </m:r>
                            </m:sup>
                          </m:sSubSup>
                        </m:e>
                      </m:nary>
                    </m:e>
                  </m:rad>
                </m:oMath>
              </a14:m>
              <a:r>
                <a:rPr lang="en-US" sz="1000" b="0"/>
                <a:t> </a:t>
              </a:r>
            </a:p>
          </xdr:txBody>
        </xdr:sp>
      </mc:Choice>
      <mc:Fallback xmlns="">
        <xdr:sp macro="" textlink="">
          <xdr:nvSpPr>
            <xdr:cNvPr id="11" name="TextBox 10"/>
            <xdr:cNvSpPr txBox="1"/>
          </xdr:nvSpPr>
          <xdr:spPr>
            <a:xfrm>
              <a:off x="4724400" y="3524250"/>
              <a:ext cx="1952625" cy="5128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:r>
                <a:rPr lang="en-US" sz="1000" b="0" i="0">
                  <a:latin typeface="Cambria Math"/>
                </a:rPr>
                <a:t>𝐼_(𝐹𝐼𝐿𝑇𝐸𝑅 𝑅𝑀𝑆 𝐶𝑈𝑅𝑅𝐸𝑁𝑇)</a:t>
              </a:r>
              <a:r>
                <a:rPr lang="en-US" sz="1000" b="0" i="0">
                  <a:latin typeface="Cambria Math"/>
                  <a:ea typeface="Cambria Math"/>
                </a:rPr>
                <a:t>=√(∑_(𝑛=1)^𝑛▒〖𝐼_𝑛^ 〗_^2 )</a:t>
              </a:r>
              <a:r>
                <a:rPr lang="en-US" sz="1000" b="0"/>
                <a:t> </a:t>
              </a:r>
            </a:p>
          </xdr:txBody>
        </xdr:sp>
      </mc:Fallback>
    </mc:AlternateContent>
    <xdr:clientData/>
  </xdr:oneCellAnchor>
  <xdr:oneCellAnchor>
    <xdr:from>
      <xdr:col>8</xdr:col>
      <xdr:colOff>38099</xdr:colOff>
      <xdr:row>13</xdr:row>
      <xdr:rowOff>219075</xdr:rowOff>
    </xdr:from>
    <xdr:ext cx="3162301" cy="5238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TextBox 11">
              <a:extLst>
                <a:ext uri="{FF2B5EF4-FFF2-40B4-BE49-F238E27FC236}">
                  <a16:creationId xmlns:a16="http://schemas.microsoft.com/office/drawing/2014/main" id="{00000000-0008-0000-0300-00000C000000}"/>
                </a:ext>
              </a:extLst>
            </xdr:cNvPr>
            <xdr:cNvSpPr txBox="1"/>
          </xdr:nvSpPr>
          <xdr:spPr>
            <a:xfrm>
              <a:off x="6838949" y="3524250"/>
              <a:ext cx="3162301" cy="5238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US" sz="1000" b="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n-US" sz="1000" b="0" i="1">
                          <a:latin typeface="Cambria Math"/>
                        </a:rPr>
                        <m:t>𝐼</m:t>
                      </m:r>
                    </m:e>
                    <m:sub>
                      <m:r>
                        <a:rPr lang="en-US" sz="1000" b="0" i="1">
                          <a:latin typeface="Cambria Math"/>
                        </a:rPr>
                        <m:t>𝑅𝐴𝑇𝐸𝐷</m:t>
                      </m:r>
                      <m:r>
                        <a:rPr lang="en-US" sz="1000" b="0" i="1">
                          <a:latin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</a:rPr>
                        <m:t>𝐹𝑈𝑁𝐷𝐴𝑀𝐸𝑁𝑇𝐴𝐿</m:t>
                      </m:r>
                    </m:sub>
                  </m:sSub>
                  <m:r>
                    <a:rPr lang="en-US" sz="1000" b="0" i="1">
                      <a:latin typeface="Cambria Math"/>
                      <a:ea typeface="Cambria Math"/>
                    </a:rPr>
                    <m:t>= </m:t>
                  </m:r>
                  <m:f>
                    <m:fPr>
                      <m:ctrlPr>
                        <a:rPr lang="en-US" sz="1000" b="0" i="1">
                          <a:latin typeface="Cambria Math" panose="02040503050406030204" pitchFamily="18" charset="0"/>
                          <a:ea typeface="Cambria Math"/>
                        </a:rPr>
                      </m:ctrlPr>
                    </m:fPr>
                    <m:num>
                      <m:sSub>
                        <m:sSubPr>
                          <m:ctrlPr>
                            <a:rPr lang="en-US" sz="10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n-US" sz="10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𝑄</m:t>
                          </m:r>
                        </m:e>
                        <m:sub>
                          <m:r>
                            <a:rPr lang="en-US" sz="10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𝑒𝑓𝑓</m:t>
                          </m:r>
                        </m:sub>
                      </m:sSub>
                    </m:num>
                    <m:den>
                      <m:r>
                        <a:rPr lang="en-US" sz="1000" b="0" i="1">
                          <a:latin typeface="Cambria Math"/>
                          <a:ea typeface="Cambria Math"/>
                        </a:rPr>
                        <m:t>1.73×</m:t>
                      </m:r>
                      <m:sSup>
                        <m:sSupPr>
                          <m:ctrlPr>
                            <a:rPr lang="en-US" sz="1000" b="0" i="1">
                              <a:latin typeface="Cambria Math" panose="02040503050406030204" pitchFamily="18" charset="0"/>
                              <a:ea typeface="Cambria Math"/>
                            </a:rPr>
                          </m:ctrlPr>
                        </m:sSupPr>
                        <m:e>
                          <m:sSub>
                            <m:sSubPr>
                              <m:ctrlPr>
                                <a:rPr lang="en-US" sz="10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n-US" sz="10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𝑘𝑉</m:t>
                              </m:r>
                            </m:e>
                            <m:sub>
                              <m:r>
                                <a:rPr lang="en-US" sz="10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𝐿𝐿𝑆𝑌𝑆</m:t>
                              </m:r>
                            </m:sub>
                          </m:sSub>
                        </m:e>
                        <m:sup/>
                      </m:sSup>
                    </m:den>
                  </m:f>
                </m:oMath>
              </a14:m>
              <a:r>
                <a:rPr lang="en-US" sz="1000" b="0"/>
                <a:t> (amps)</a:t>
              </a:r>
            </a:p>
          </xdr:txBody>
        </xdr:sp>
      </mc:Choice>
      <mc:Fallback xmlns="">
        <xdr:sp macro="" textlink="">
          <xdr:nvSpPr>
            <xdr:cNvPr id="12" name="TextBox 11"/>
            <xdr:cNvSpPr txBox="1"/>
          </xdr:nvSpPr>
          <xdr:spPr>
            <a:xfrm>
              <a:off x="6838949" y="3524250"/>
              <a:ext cx="3162301" cy="5238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:r>
                <a:rPr lang="en-US" sz="1000" b="0" i="0">
                  <a:latin typeface="Cambria Math"/>
                </a:rPr>
                <a:t>𝐼_(𝑅𝐴𝑇𝐸𝐷 𝐹𝑈𝑁𝐷𝐴𝑀𝐸𝑁𝑇𝐴𝐿)</a:t>
              </a:r>
              <a:r>
                <a:rPr lang="en-US" sz="1000" b="0" i="0">
                  <a:latin typeface="Cambria Math"/>
                  <a:ea typeface="Cambria Math"/>
                </a:rPr>
                <a:t>= 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 𝑄_𝑒𝑓𝑓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Cambria Math"/>
                  <a:cs typeface="+mn-cs"/>
                </a:rPr>
                <a:t>/(</a:t>
              </a:r>
              <a:r>
                <a:rPr lang="en-US" sz="1000" b="0" i="0">
                  <a:latin typeface="Cambria Math"/>
                  <a:ea typeface="Cambria Math"/>
                </a:rPr>
                <a:t>1.73×〖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〖𝑘𝑉〗_𝐿𝐿𝑆𝑌𝑆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Cambria Math"/>
                  <a:cs typeface="+mn-cs"/>
                </a:rPr>
                <a:t>〗^ )</a:t>
              </a:r>
              <a:r>
                <a:rPr lang="en-US" sz="1000" b="0"/>
                <a:t> (amps)</a:t>
              </a:r>
            </a:p>
          </xdr:txBody>
        </xdr:sp>
      </mc:Fallback>
    </mc:AlternateContent>
    <xdr:clientData/>
  </xdr:oneCellAnchor>
  <xdr:oneCellAnchor>
    <xdr:from>
      <xdr:col>4</xdr:col>
      <xdr:colOff>828674</xdr:colOff>
      <xdr:row>18</xdr:row>
      <xdr:rowOff>152400</xdr:rowOff>
    </xdr:from>
    <xdr:ext cx="2053674" cy="47615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TextBox 12">
              <a:extLst>
                <a:ext uri="{FF2B5EF4-FFF2-40B4-BE49-F238E27FC236}">
                  <a16:creationId xmlns:a16="http://schemas.microsoft.com/office/drawing/2014/main" id="{00000000-0008-0000-0300-00000D000000}"/>
                </a:ext>
              </a:extLst>
            </xdr:cNvPr>
            <xdr:cNvSpPr txBox="1"/>
          </xdr:nvSpPr>
          <xdr:spPr>
            <a:xfrm>
              <a:off x="4729783" y="4674704"/>
              <a:ext cx="2053674" cy="4761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/>
                          </a:rPr>
                          <m:t>𝑋</m:t>
                        </m:r>
                      </m:e>
                      <m:sub>
                        <m:r>
                          <a:rPr lang="en-US" sz="1100" b="0" i="1">
                            <a:latin typeface="Cambria Math"/>
                          </a:rPr>
                          <m:t>𝐶</m:t>
                        </m:r>
                      </m:sub>
                    </m:sSub>
                    <m:r>
                      <a:rPr lang="en-US" sz="1100" i="1">
                        <a:latin typeface="Cambria Math"/>
                        <a:ea typeface="Cambria Math"/>
                      </a:rPr>
                      <m:t>=</m:t>
                    </m:r>
                    <m:d>
                      <m:dPr>
                        <m:ctrlPr>
                          <a:rPr lang="en-US" sz="1100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en-US" sz="1100" i="1">
                                <a:latin typeface="Cambria Math" panose="02040503050406030204" pitchFamily="18" charset="0"/>
                                <a:ea typeface="Cambria Math"/>
                              </a:rPr>
                            </m:ctrlPr>
                          </m:fPr>
                          <m:num>
                            <m:sSup>
                              <m:sSupPr>
                                <m:ctrlPr>
                                  <a:rPr lang="en-US" sz="1100" i="1">
                                    <a:latin typeface="Cambria Math" panose="02040503050406030204" pitchFamily="18" charset="0"/>
                                    <a:ea typeface="Cambria Math"/>
                                  </a:rPr>
                                </m:ctrlPr>
                              </m:sSupPr>
                              <m:e>
                                <m:r>
                                  <a:rPr lang="en-US" sz="1100" b="0" i="1">
                                    <a:latin typeface="Cambria Math"/>
                                    <a:ea typeface="Cambria Math"/>
                                  </a:rPr>
                                  <m:t>h</m:t>
                                </m:r>
                              </m:e>
                              <m:sup>
                                <m:r>
                                  <a:rPr lang="en-US" sz="1100" b="0" i="1">
                                    <a:latin typeface="Cambria Math"/>
                                    <a:ea typeface="Cambria Math"/>
                                  </a:rPr>
                                  <m:t>2</m:t>
                                </m:r>
                              </m:sup>
                            </m:sSup>
                          </m:num>
                          <m:den>
                            <m:sSup>
                              <m:sSupPr>
                                <m:ctrlPr>
                                  <a:rPr lang="en-US" sz="1100" i="1">
                                    <a:latin typeface="Cambria Math" panose="02040503050406030204" pitchFamily="18" charset="0"/>
                                    <a:ea typeface="Cambria Math"/>
                                  </a:rPr>
                                </m:ctrlPr>
                              </m:sSupPr>
                              <m:e>
                                <m:r>
                                  <a:rPr lang="en-US" sz="1100" b="0" i="1">
                                    <a:latin typeface="Cambria Math"/>
                                    <a:ea typeface="Cambria Math"/>
                                  </a:rPr>
                                  <m:t>h</m:t>
                                </m:r>
                              </m:e>
                              <m:sup>
                                <m:r>
                                  <a:rPr lang="en-US" sz="1100" b="0" i="1">
                                    <a:latin typeface="Cambria Math"/>
                                    <a:ea typeface="Cambria Math"/>
                                  </a:rPr>
                                  <m:t>2</m:t>
                                </m:r>
                              </m:sup>
                            </m:sSup>
                            <m:r>
                              <a:rPr lang="en-US" sz="1100" b="0" i="1">
                                <a:latin typeface="Cambria Math"/>
                                <a:ea typeface="Cambria Math"/>
                              </a:rPr>
                              <m:t>−1</m:t>
                            </m:r>
                          </m:den>
                        </m:f>
                      </m:e>
                    </m:d>
                    <m:sSub>
                      <m:sSubPr>
                        <m:ctrlPr>
                          <a:rPr lang="en-US" sz="1100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/>
                            <a:ea typeface="Cambria Math"/>
                          </a:rPr>
                          <m:t>𝑋</m:t>
                        </m:r>
                      </m:e>
                      <m:sub>
                        <m:r>
                          <a:rPr lang="en-US" sz="1100" b="0" i="1">
                            <a:latin typeface="Cambria Math"/>
                            <a:ea typeface="Cambria Math"/>
                          </a:rPr>
                          <m:t>𝑒𝑓𝑓</m:t>
                        </m:r>
                      </m:sub>
                    </m:sSub>
                    <m:r>
                      <a:rPr lang="en-US" sz="1100" b="0" i="1">
                        <a:latin typeface="Cambria Math"/>
                        <a:ea typeface="Cambria Math"/>
                      </a:rPr>
                      <m:t>(</m:t>
                    </m:r>
                    <m:r>
                      <a:rPr lang="en-US" sz="1100" b="0" i="1">
                        <a:latin typeface="Cambria Math"/>
                        <a:ea typeface="Cambria Math"/>
                      </a:rPr>
                      <m:t>𝑜h𝑚𝑠</m:t>
                    </m:r>
                    <m:r>
                      <a:rPr lang="en-US" sz="1100" b="0" i="1">
                        <a:latin typeface="Cambria Math"/>
                        <a:ea typeface="Cambria Math"/>
                      </a:rPr>
                      <m:t>)</m:t>
                    </m: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13" name="TextBox 12"/>
            <xdr:cNvSpPr txBox="1"/>
          </xdr:nvSpPr>
          <xdr:spPr>
            <a:xfrm>
              <a:off x="4729783" y="4674704"/>
              <a:ext cx="2053674" cy="4761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en-US" sz="1100" b="0" i="0">
                  <a:latin typeface="Cambria Math"/>
                </a:rPr>
                <a:t>𝑋_𝐶</a:t>
              </a:r>
              <a:r>
                <a:rPr lang="en-US" sz="1100" i="0">
                  <a:latin typeface="Cambria Math"/>
                  <a:ea typeface="Cambria Math"/>
                </a:rPr>
                <a:t>=(</a:t>
              </a:r>
              <a:r>
                <a:rPr lang="en-US" sz="1100" b="0" i="0">
                  <a:latin typeface="Cambria Math"/>
                  <a:ea typeface="Cambria Math"/>
                </a:rPr>
                <a:t>ℎ^2/(ℎ^2−1)) 𝑋_𝑒𝑓𝑓 (𝑜ℎ𝑚𝑠)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5</xdr:col>
      <xdr:colOff>0</xdr:colOff>
      <xdr:row>21</xdr:row>
      <xdr:rowOff>133350</xdr:rowOff>
    </xdr:from>
    <xdr:ext cx="1374913" cy="33272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TextBox 13">
              <a:extLst>
                <a:ext uri="{FF2B5EF4-FFF2-40B4-BE49-F238E27FC236}">
                  <a16:creationId xmlns:a16="http://schemas.microsoft.com/office/drawing/2014/main" id="{00000000-0008-0000-0300-00000E000000}"/>
                </a:ext>
              </a:extLst>
            </xdr:cNvPr>
            <xdr:cNvSpPr txBox="1"/>
          </xdr:nvSpPr>
          <xdr:spPr>
            <a:xfrm>
              <a:off x="4787348" y="5301698"/>
              <a:ext cx="1374913" cy="33272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US" sz="110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n-US" sz="1100" b="0" i="1">
                          <a:latin typeface="Cambria Math"/>
                        </a:rPr>
                        <m:t>𝑋</m:t>
                      </m:r>
                    </m:e>
                    <m:sub>
                      <m:r>
                        <a:rPr lang="en-US" sz="1100" b="0" i="1">
                          <a:latin typeface="Cambria Math"/>
                        </a:rPr>
                        <m:t>𝐿</m:t>
                      </m:r>
                    </m:sub>
                  </m:sSub>
                  <m:r>
                    <a:rPr lang="en-US" sz="1100" i="1">
                      <a:latin typeface="Cambria Math"/>
                      <a:ea typeface="Cambria Math"/>
                    </a:rPr>
                    <m:t>=</m:t>
                  </m:r>
                  <m:f>
                    <m:fPr>
                      <m:ctrlPr>
                        <a:rPr lang="en-US" sz="1100" i="1">
                          <a:latin typeface="Cambria Math" panose="02040503050406030204" pitchFamily="18" charset="0"/>
                          <a:ea typeface="Cambria Math"/>
                        </a:rPr>
                      </m:ctrlPr>
                    </m:fPr>
                    <m:num>
                      <m:sSub>
                        <m:sSubPr>
                          <m:ctrlPr>
                            <a:rPr lang="en-US" sz="1100" i="1">
                              <a:latin typeface="Cambria Math" panose="02040503050406030204" pitchFamily="18" charset="0"/>
                              <a:ea typeface="Cambria Math"/>
                            </a:rPr>
                          </m:ctrlPr>
                        </m:sSubPr>
                        <m:e>
                          <m:r>
                            <a:rPr lang="en-US" sz="1100" b="0" i="1">
                              <a:latin typeface="Cambria Math"/>
                              <a:ea typeface="Cambria Math"/>
                            </a:rPr>
                            <m:t>𝑋</m:t>
                          </m:r>
                        </m:e>
                        <m:sub>
                          <m:r>
                            <a:rPr lang="en-US" sz="1100" b="0" i="1">
                              <a:latin typeface="Cambria Math"/>
                              <a:ea typeface="Cambria Math"/>
                            </a:rPr>
                            <m:t>𝐶</m:t>
                          </m:r>
                        </m:sub>
                      </m:sSub>
                    </m:num>
                    <m:den>
                      <m:sSup>
                        <m:sSupPr>
                          <m:ctrlPr>
                            <a:rPr lang="en-US" sz="1100" i="1">
                              <a:latin typeface="Cambria Math" panose="02040503050406030204" pitchFamily="18" charset="0"/>
                              <a:ea typeface="Cambria Math"/>
                            </a:rPr>
                          </m:ctrlPr>
                        </m:sSupPr>
                        <m:e>
                          <m:r>
                            <a:rPr lang="en-US" sz="1100" b="0" i="1">
                              <a:latin typeface="Cambria Math"/>
                              <a:ea typeface="Cambria Math"/>
                            </a:rPr>
                            <m:t>h</m:t>
                          </m:r>
                        </m:e>
                        <m:sup>
                          <m:r>
                            <a:rPr lang="en-US" sz="1100" b="0" i="1">
                              <a:latin typeface="Cambria Math"/>
                              <a:ea typeface="Cambria Math"/>
                            </a:rPr>
                            <m:t>2</m:t>
                          </m:r>
                        </m:sup>
                      </m:sSup>
                    </m:den>
                  </m:f>
                </m:oMath>
              </a14:m>
              <a:r>
                <a:rPr lang="en-US" sz="1100"/>
                <a:t> (ohms)</a:t>
              </a:r>
            </a:p>
          </xdr:txBody>
        </xdr:sp>
      </mc:Choice>
      <mc:Fallback xmlns="">
        <xdr:sp macro="" textlink="">
          <xdr:nvSpPr>
            <xdr:cNvPr id="14" name="TextBox 13"/>
            <xdr:cNvSpPr txBox="1"/>
          </xdr:nvSpPr>
          <xdr:spPr>
            <a:xfrm>
              <a:off x="4787348" y="5301698"/>
              <a:ext cx="1374913" cy="33272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en-US" sz="1100" b="0" i="0">
                  <a:latin typeface="Cambria Math"/>
                </a:rPr>
                <a:t>𝑋_𝐿</a:t>
              </a:r>
              <a:r>
                <a:rPr lang="en-US" sz="1100" i="0">
                  <a:latin typeface="Cambria Math"/>
                  <a:ea typeface="Cambria Math"/>
                </a:rPr>
                <a:t>=</a:t>
              </a:r>
              <a:r>
                <a:rPr lang="en-US" sz="1100" b="0" i="0">
                  <a:latin typeface="Cambria Math"/>
                  <a:ea typeface="Cambria Math"/>
                </a:rPr>
                <a:t>𝑋_𝐶/ℎ^2 </a:t>
              </a:r>
              <a:r>
                <a:rPr lang="en-US" sz="1100"/>
                <a:t> (ohms)</a:t>
              </a:r>
            </a:p>
          </xdr:txBody>
        </xdr:sp>
      </mc:Fallback>
    </mc:AlternateContent>
    <xdr:clientData/>
  </xdr:oneCellAnchor>
  <xdr:oneCellAnchor>
    <xdr:from>
      <xdr:col>4</xdr:col>
      <xdr:colOff>933450</xdr:colOff>
      <xdr:row>34</xdr:row>
      <xdr:rowOff>85725</xdr:rowOff>
    </xdr:from>
    <xdr:ext cx="1371600" cy="264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TextBox 14">
              <a:extLst>
                <a:ext uri="{FF2B5EF4-FFF2-40B4-BE49-F238E27FC236}">
                  <a16:creationId xmlns:a16="http://schemas.microsoft.com/office/drawing/2014/main" id="{00000000-0008-0000-0300-00000F000000}"/>
                </a:ext>
              </a:extLst>
            </xdr:cNvPr>
            <xdr:cNvSpPr txBox="1"/>
          </xdr:nvSpPr>
          <xdr:spPr>
            <a:xfrm>
              <a:off x="4724400" y="8429625"/>
              <a:ext cx="1371600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/>
                          </a:rPr>
                          <m:t>𝐼</m:t>
                        </m:r>
                      </m:e>
                      <m:sub>
                        <m:r>
                          <a:rPr lang="en-US" sz="1100" b="0" i="1">
                            <a:latin typeface="Cambria Math"/>
                          </a:rPr>
                          <m:t>𝐹𝑈𝑆𝐸</m:t>
                        </m:r>
                      </m:sub>
                    </m:sSub>
                    <m:r>
                      <a:rPr lang="en-US" sz="1100" i="1">
                        <a:latin typeface="Cambria Math"/>
                        <a:ea typeface="Cambria Math"/>
                      </a:rPr>
                      <m:t>≥</m:t>
                    </m:r>
                    <m:r>
                      <a:rPr lang="en-US" sz="1100" b="0" i="1">
                        <a:latin typeface="Cambria Math"/>
                        <a:ea typeface="Cambria Math"/>
                      </a:rPr>
                      <m:t> </m:t>
                    </m:r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/>
                            <a:ea typeface="Cambria Math"/>
                          </a:rPr>
                          <m:t>𝐼</m:t>
                        </m:r>
                      </m:e>
                      <m:sub>
                        <m:r>
                          <a:rPr lang="en-US" sz="1100" b="0" i="1">
                            <a:latin typeface="Cambria Math"/>
                            <a:ea typeface="Cambria Math"/>
                          </a:rPr>
                          <m:t>𝐶𝐴𝑃</m:t>
                        </m:r>
                      </m:sub>
                    </m:sSub>
                    <m:r>
                      <a:rPr lang="en-US" sz="1100" b="0" i="1">
                        <a:latin typeface="Cambria Math"/>
                        <a:ea typeface="Cambria Math"/>
                      </a:rPr>
                      <m:t>×1.8</m:t>
                    </m: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15" name="TextBox 14"/>
            <xdr:cNvSpPr txBox="1"/>
          </xdr:nvSpPr>
          <xdr:spPr>
            <a:xfrm>
              <a:off x="4724400" y="8429625"/>
              <a:ext cx="1371600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en-US" sz="1100" b="0" i="0">
                  <a:latin typeface="Cambria Math"/>
                </a:rPr>
                <a:t>𝐼_𝐹𝑈𝑆𝐸</a:t>
              </a:r>
              <a:r>
                <a:rPr lang="en-US" sz="1100" i="0">
                  <a:latin typeface="Cambria Math"/>
                  <a:ea typeface="Cambria Math"/>
                </a:rPr>
                <a:t>≥</a:t>
              </a:r>
              <a:r>
                <a:rPr lang="en-US" sz="1100" b="0" i="0">
                  <a:latin typeface="Cambria Math"/>
                  <a:ea typeface="Cambria Math"/>
                </a:rPr>
                <a:t> 𝐼_𝐶𝐴𝑃×1.8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4</xdr:col>
      <xdr:colOff>914400</xdr:colOff>
      <xdr:row>36</xdr:row>
      <xdr:rowOff>3671</xdr:rowOff>
    </xdr:from>
    <xdr:ext cx="4419600" cy="43447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TextBox 15">
              <a:extLst>
                <a:ext uri="{FF2B5EF4-FFF2-40B4-BE49-F238E27FC236}">
                  <a16:creationId xmlns:a16="http://schemas.microsoft.com/office/drawing/2014/main" id="{00000000-0008-0000-0300-000010000000}"/>
                </a:ext>
              </a:extLst>
            </xdr:cNvPr>
            <xdr:cNvSpPr txBox="1"/>
          </xdr:nvSpPr>
          <xdr:spPr>
            <a:xfrm>
              <a:off x="4724400" y="9100046"/>
              <a:ext cx="4419600" cy="43447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14:m>
                <m:oMath xmlns:m="http://schemas.openxmlformats.org/officeDocument/2006/math">
                  <m:sSub>
                    <m:sSubPr>
                      <m:ctrlPr>
                        <a:rPr lang="en-US" sz="1000" b="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n-US" sz="1000" b="0" i="1">
                          <a:latin typeface="Cambria Math"/>
                        </a:rPr>
                        <m:t>𝑉</m:t>
                      </m:r>
                    </m:e>
                    <m:sub>
                      <m:r>
                        <a:rPr lang="en-US" sz="1000" b="0" i="1">
                          <a:latin typeface="Cambria Math"/>
                        </a:rPr>
                        <m:t>𝐶𝐴𝑃</m:t>
                      </m:r>
                      <m:r>
                        <a:rPr lang="en-US" sz="1000" b="0" i="1">
                          <a:latin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</a:rPr>
                        <m:t>𝑅𝑀𝑆</m:t>
                      </m:r>
                      <m:r>
                        <a:rPr lang="en-US" sz="1000" b="0" i="1">
                          <a:latin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</a:rPr>
                        <m:t>𝑉𝑂𝐿𝑇𝐴𝐺𝐸</m:t>
                      </m:r>
                    </m:sub>
                  </m:sSub>
                  <m:r>
                    <a:rPr lang="en-US" sz="1000" b="0" i="1">
                      <a:latin typeface="Cambria Math"/>
                      <a:ea typeface="Cambria Math"/>
                    </a:rPr>
                    <m:t>=</m:t>
                  </m:r>
                  <m:rad>
                    <m:radPr>
                      <m:degHide m:val="on"/>
                      <m:ctrlPr>
                        <a:rPr lang="en-US" sz="1000" b="0" i="1">
                          <a:latin typeface="Cambria Math" panose="02040503050406030204" pitchFamily="18" charset="0"/>
                          <a:ea typeface="Cambria Math"/>
                        </a:rPr>
                      </m:ctrlPr>
                    </m:radPr>
                    <m:deg/>
                    <m:e>
                      <m:nary>
                        <m:naryPr>
                          <m:chr m:val="∑"/>
                          <m:ctrlPr>
                            <a:rPr lang="en-US" sz="1000" b="0" i="1">
                              <a:latin typeface="Cambria Math" panose="02040503050406030204" pitchFamily="18" charset="0"/>
                              <a:ea typeface="Cambria Math"/>
                            </a:rPr>
                          </m:ctrlPr>
                        </m:naryPr>
                        <m:sub>
                          <m:r>
                            <m:rPr>
                              <m:brk m:alnAt="23"/>
                            </m:rPr>
                            <a:rPr lang="en-US" sz="1000" b="0" i="1">
                              <a:latin typeface="Cambria Math"/>
                              <a:ea typeface="Cambria Math"/>
                            </a:rPr>
                            <m:t>𝑛</m:t>
                          </m:r>
                          <m:r>
                            <a:rPr lang="en-US" sz="1000" b="0" i="1">
                              <a:latin typeface="Cambria Math"/>
                              <a:ea typeface="Cambria Math"/>
                            </a:rPr>
                            <m:t>=1</m:t>
                          </m:r>
                        </m:sub>
                        <m:sup>
                          <m:r>
                            <a:rPr lang="en-US" sz="1000" b="0" i="1">
                              <a:latin typeface="Cambria Math"/>
                              <a:ea typeface="Cambria Math"/>
                            </a:rPr>
                            <m:t>𝑛</m:t>
                          </m:r>
                        </m:sup>
                        <m:e>
                          <m:sSup>
                            <m:sSupPr>
                              <m:ctrlPr>
                                <a:rPr lang="en-US" sz="1000" b="0" i="1">
                                  <a:latin typeface="Cambria Math" panose="02040503050406030204" pitchFamily="18" charset="0"/>
                                  <a:ea typeface="Cambria Math"/>
                                </a:rPr>
                              </m:ctrlPr>
                            </m:sSupPr>
                            <m:e>
                              <m:sSub>
                                <m:sSubPr>
                                  <m:ctrlP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sSubPr>
                                <m:e>
                                  <m: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/>
                                      <a:ea typeface="+mn-ea"/>
                                      <a:cs typeface="+mn-cs"/>
                                    </a:rPr>
                                    <m:t>𝑉</m:t>
                                  </m:r>
                                </m:e>
                                <m:sub>
                                  <m: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/>
                                      <a:ea typeface="+mn-ea"/>
                                      <a:cs typeface="+mn-cs"/>
                                    </a:rPr>
                                    <m:t>𝐶𝐴𝑃</m:t>
                                  </m:r>
                                  <m: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/>
                                      <a:ea typeface="+mn-ea"/>
                                      <a:cs typeface="+mn-cs"/>
                                    </a:rPr>
                                    <m:t> </m:t>
                                  </m:r>
                                  <m: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/>
                                      <a:ea typeface="+mn-ea"/>
                                      <a:cs typeface="+mn-cs"/>
                                    </a:rPr>
                                    <m:t>𝐻𝐴𝑅𝑀𝑂𝑁𝐼𝐶</m:t>
                                  </m:r>
                                  <m: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/>
                                      <a:ea typeface="+mn-ea"/>
                                      <a:cs typeface="+mn-cs"/>
                                    </a:rPr>
                                    <m:t> </m:t>
                                  </m:r>
                                  <m: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/>
                                      <a:ea typeface="+mn-ea"/>
                                      <a:cs typeface="+mn-cs"/>
                                    </a:rPr>
                                    <m:t>𝑉𝑂𝐿𝑇𝐴𝐺𝐸</m:t>
                                  </m:r>
                                  <m: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/>
                                      <a:ea typeface="+mn-ea"/>
                                      <a:cs typeface="+mn-cs"/>
                                    </a:rPr>
                                    <m:t> (</m:t>
                                  </m:r>
                                  <m: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/>
                                      <a:ea typeface="+mn-ea"/>
                                      <a:cs typeface="+mn-cs"/>
                                    </a:rPr>
                                    <m:t>𝑉𝑂𝐿𝑇𝑆</m:t>
                                  </m:r>
                                  <m:r>
                                    <a:rPr lang="en-US" sz="10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/>
                                      <a:ea typeface="+mn-ea"/>
                                      <a:cs typeface="+mn-cs"/>
                                    </a:rPr>
                                    <m:t>)</m:t>
                                  </m:r>
                                </m:sub>
                              </m:sSub>
                            </m:e>
                            <m:sup>
                              <m:r>
                                <a:rPr lang="en-US" sz="1000" b="0" i="1">
                                  <a:latin typeface="Cambria Math"/>
                                  <a:ea typeface="Cambria Math"/>
                                </a:rPr>
                                <m:t>2</m:t>
                              </m:r>
                            </m:sup>
                          </m:sSup>
                        </m:e>
                      </m:nary>
                    </m:e>
                  </m:rad>
                </m:oMath>
              </a14:m>
              <a:r>
                <a:rPr lang="en-US" sz="1000" b="0"/>
                <a:t> /1000</a:t>
              </a:r>
            </a:p>
          </xdr:txBody>
        </xdr:sp>
      </mc:Choice>
      <mc:Fallback xmlns="">
        <xdr:sp macro="" textlink="">
          <xdr:nvSpPr>
            <xdr:cNvPr id="16" name="TextBox 15"/>
            <xdr:cNvSpPr txBox="1"/>
          </xdr:nvSpPr>
          <xdr:spPr>
            <a:xfrm>
              <a:off x="4724400" y="9100046"/>
              <a:ext cx="4419600" cy="43447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:r>
                <a:rPr lang="en-US" sz="1000" b="0" i="0">
                  <a:latin typeface="Cambria Math"/>
                </a:rPr>
                <a:t>𝑉_(𝐶𝐴𝑃 𝑅𝑀𝑆 𝑉𝑂𝐿𝑇𝐴𝐺𝐸)</a:t>
              </a:r>
              <a:r>
                <a:rPr lang="en-US" sz="1000" b="0" i="0">
                  <a:latin typeface="Cambria Math"/>
                  <a:ea typeface="Cambria Math"/>
                </a:rPr>
                <a:t>=√(∑_(𝑛=1)^𝑛▒〖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𝑉_(𝐶𝐴𝑃 𝐻𝐴𝑅𝑀𝑂𝑁𝐼𝐶 𝑉𝑂𝐿𝑇𝐴𝐺𝐸 (𝑉𝑂𝐿𝑇𝑆))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Cambria Math"/>
                  <a:cs typeface="+mn-cs"/>
                </a:rPr>
                <a:t>〗^</a:t>
              </a:r>
              <a:r>
                <a:rPr lang="en-US" sz="1000" b="0" i="0">
                  <a:latin typeface="Cambria Math"/>
                  <a:ea typeface="Cambria Math"/>
                </a:rPr>
                <a:t>2 )</a:t>
              </a:r>
              <a:r>
                <a:rPr lang="en-US" sz="1000" b="0"/>
                <a:t> /1000</a:t>
              </a:r>
            </a:p>
          </xdr:txBody>
        </xdr:sp>
      </mc:Fallback>
    </mc:AlternateContent>
    <xdr:clientData/>
  </xdr:oneCellAnchor>
  <xdr:oneCellAnchor>
    <xdr:from>
      <xdr:col>4</xdr:col>
      <xdr:colOff>914399</xdr:colOff>
      <xdr:row>36</xdr:row>
      <xdr:rowOff>349704</xdr:rowOff>
    </xdr:from>
    <xdr:ext cx="3743325" cy="47897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TextBox 16">
              <a:extLst>
                <a:ext uri="{FF2B5EF4-FFF2-40B4-BE49-F238E27FC236}">
                  <a16:creationId xmlns:a16="http://schemas.microsoft.com/office/drawing/2014/main" id="{00000000-0008-0000-0300-000011000000}"/>
                </a:ext>
              </a:extLst>
            </xdr:cNvPr>
            <xdr:cNvSpPr txBox="1"/>
          </xdr:nvSpPr>
          <xdr:spPr>
            <a:xfrm>
              <a:off x="4724399" y="9446079"/>
              <a:ext cx="3743325" cy="47897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0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000" b="0" i="1">
                            <a:latin typeface="Cambria Math"/>
                          </a:rPr>
                          <m:t>𝑉</m:t>
                        </m:r>
                      </m:e>
                      <m:sub>
                        <m:r>
                          <a:rPr lang="en-US" sz="1000" b="0" i="1">
                            <a:latin typeface="Cambria Math"/>
                          </a:rPr>
                          <m:t>𝐶𝐴𝑃</m:t>
                        </m:r>
                        <m:r>
                          <a:rPr lang="en-US" sz="1000" b="0" i="1">
                            <a:latin typeface="Cambria Math"/>
                          </a:rPr>
                          <m:t> </m:t>
                        </m:r>
                        <m:r>
                          <a:rPr lang="en-US" sz="1000" b="0" i="1">
                            <a:latin typeface="Cambria Math"/>
                          </a:rPr>
                          <m:t>𝑃𝐸𝐴𝐾</m:t>
                        </m:r>
                        <m:r>
                          <a:rPr lang="en-US" sz="1000" b="0" i="1">
                            <a:latin typeface="Cambria Math"/>
                          </a:rPr>
                          <m:t> </m:t>
                        </m:r>
                        <m:r>
                          <a:rPr lang="en-US" sz="1000" b="0" i="1">
                            <a:latin typeface="Cambria Math"/>
                          </a:rPr>
                          <m:t>𝑉𝑂𝐿𝑇𝐴𝐺𝐸</m:t>
                        </m:r>
                      </m:sub>
                    </m:sSub>
                    <m:r>
                      <a:rPr lang="en-US" sz="1000" b="0" i="1">
                        <a:latin typeface="Cambria Math"/>
                        <a:ea typeface="Cambria Math"/>
                      </a:rPr>
                      <m:t>=1.414 ×</m:t>
                    </m:r>
                    <m:nary>
                      <m:naryPr>
                        <m:chr m:val="∑"/>
                        <m:ctrlPr>
                          <a:rPr lang="en-US" sz="10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naryPr>
                      <m:sub>
                        <m:r>
                          <m:rPr>
                            <m:brk m:alnAt="23"/>
                          </m:rPr>
                          <a:rPr lang="en-US" sz="10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𝑛</m:t>
                        </m:r>
                        <m:r>
                          <a:rPr lang="en-US" sz="10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=1</m:t>
                        </m:r>
                      </m:sub>
                      <m:sup>
                        <m:r>
                          <a:rPr lang="en-US" sz="10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𝑛</m:t>
                        </m:r>
                      </m:sup>
                      <m:e>
                        <m:sSup>
                          <m:sSupPr>
                            <m:ctrlPr>
                              <a:rPr lang="en-US" sz="10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sSub>
                              <m:sSubPr>
                                <m:ctrlPr>
                                  <a:rPr lang="en-US" sz="10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sz="10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𝑉</m:t>
                                </m:r>
                              </m:e>
                              <m:sub>
                                <m:r>
                                  <a:rPr lang="en-US" sz="10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𝐶𝐴𝑃</m:t>
                                </m:r>
                                <m:r>
                                  <a:rPr lang="en-US" sz="10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 </m:t>
                                </m:r>
                                <m:r>
                                  <a:rPr lang="en-US" sz="10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𝐻𝐴𝑅𝑀𝑂𝑁𝐼𝐶</m:t>
                                </m:r>
                                <m:r>
                                  <a:rPr lang="en-US" sz="10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 </m:t>
                                </m:r>
                                <m:r>
                                  <a:rPr lang="en-US" sz="10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𝑉𝑂𝐿𝑇𝐴𝐺𝐸</m:t>
                                </m:r>
                              </m:sub>
                            </m:sSub>
                          </m:e>
                          <m:sup/>
                        </m:sSup>
                      </m:e>
                    </m:nary>
                  </m:oMath>
                </m:oMathPara>
              </a14:m>
              <a:endParaRPr lang="en-US" sz="1000" b="0"/>
            </a:p>
          </xdr:txBody>
        </xdr:sp>
      </mc:Choice>
      <mc:Fallback xmlns="">
        <xdr:sp macro="" textlink="">
          <xdr:nvSpPr>
            <xdr:cNvPr id="17" name="TextBox 16"/>
            <xdr:cNvSpPr txBox="1"/>
          </xdr:nvSpPr>
          <xdr:spPr>
            <a:xfrm>
              <a:off x="4724399" y="9446079"/>
              <a:ext cx="3743325" cy="47897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:r>
                <a:rPr lang="en-US" sz="1000" b="0" i="0">
                  <a:latin typeface="Cambria Math"/>
                </a:rPr>
                <a:t>𝑉_(𝐶𝐴𝑃 𝑃𝐸𝐴𝐾 𝑉𝑂𝐿𝑇𝐴𝐺𝐸)</a:t>
              </a:r>
              <a:r>
                <a:rPr lang="en-US" sz="1000" b="0" i="0">
                  <a:latin typeface="Cambria Math"/>
                  <a:ea typeface="Cambria Math"/>
                </a:rPr>
                <a:t>=1.414 ×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∑_(𝑛=1)^𝑛▒〖𝑉_(𝐶𝐴𝑃 𝐻𝐴𝑅𝑀𝑂𝑁𝐼𝐶 𝑉𝑂𝐿𝑇𝐴𝐺𝐸)〗^ </a:t>
              </a:r>
              <a:endParaRPr lang="en-US" sz="1000" b="0"/>
            </a:p>
          </xdr:txBody>
        </xdr:sp>
      </mc:Fallback>
    </mc:AlternateContent>
    <xdr:clientData/>
  </xdr:oneCellAnchor>
  <xdr:oneCellAnchor>
    <xdr:from>
      <xdr:col>4</xdr:col>
      <xdr:colOff>939311</xdr:colOff>
      <xdr:row>37</xdr:row>
      <xdr:rowOff>353161</xdr:rowOff>
    </xdr:from>
    <xdr:ext cx="2552700" cy="40884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TextBox 17">
              <a:extLst>
                <a:ext uri="{FF2B5EF4-FFF2-40B4-BE49-F238E27FC236}">
                  <a16:creationId xmlns:a16="http://schemas.microsoft.com/office/drawing/2014/main" id="{00000000-0008-0000-0300-000012000000}"/>
                </a:ext>
              </a:extLst>
            </xdr:cNvPr>
            <xdr:cNvSpPr txBox="1"/>
          </xdr:nvSpPr>
          <xdr:spPr>
            <a:xfrm>
              <a:off x="4720736" y="9868636"/>
              <a:ext cx="2552700" cy="40884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14:m>
                <m:oMath xmlns:m="http://schemas.openxmlformats.org/officeDocument/2006/math">
                  <m:sSub>
                    <m:sSubPr>
                      <m:ctrlPr>
                        <a:rPr lang="en-US" sz="1000" b="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n-US" sz="1000" b="0" i="1">
                          <a:latin typeface="Cambria Math"/>
                        </a:rPr>
                        <m:t>𝐼</m:t>
                      </m:r>
                    </m:e>
                    <m:sub>
                      <m:r>
                        <a:rPr lang="en-US" sz="1000" b="0" i="1">
                          <a:latin typeface="Cambria Math"/>
                        </a:rPr>
                        <m:t>𝐶𝐴𝑃</m:t>
                      </m:r>
                      <m:r>
                        <a:rPr lang="en-US" sz="1000" b="0" i="1">
                          <a:latin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</a:rPr>
                        <m:t>𝑅𝑀𝑆</m:t>
                      </m:r>
                      <m:r>
                        <a:rPr lang="en-US" sz="1000" b="0" i="1">
                          <a:latin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</a:rPr>
                        <m:t>𝐶𝑈𝑅𝑅𝐸𝑁𝑇</m:t>
                      </m:r>
                    </m:sub>
                  </m:sSub>
                  <m:r>
                    <a:rPr lang="en-US" sz="1000" b="0" i="1">
                      <a:latin typeface="Cambria Math"/>
                      <a:ea typeface="Cambria Math"/>
                    </a:rPr>
                    <m:t>=</m:t>
                  </m:r>
                  <m:rad>
                    <m:radPr>
                      <m:degHide m:val="on"/>
                      <m:ctrlPr>
                        <a:rPr lang="en-US" sz="1000" b="0" i="1">
                          <a:latin typeface="Cambria Math" panose="02040503050406030204" pitchFamily="18" charset="0"/>
                          <a:ea typeface="Cambria Math"/>
                        </a:rPr>
                      </m:ctrlPr>
                    </m:radPr>
                    <m:deg/>
                    <m:e>
                      <m:nary>
                        <m:naryPr>
                          <m:chr m:val="∑"/>
                          <m:ctrlPr>
                            <a:rPr lang="en-US" sz="1000" b="0" i="1">
                              <a:latin typeface="Cambria Math" panose="02040503050406030204" pitchFamily="18" charset="0"/>
                              <a:ea typeface="Cambria Math"/>
                            </a:rPr>
                          </m:ctrlPr>
                        </m:naryPr>
                        <m:sub>
                          <m:r>
                            <m:rPr>
                              <m:brk m:alnAt="23"/>
                            </m:rPr>
                            <a:rPr lang="en-US" sz="1000" b="0" i="1">
                              <a:latin typeface="Cambria Math"/>
                              <a:ea typeface="Cambria Math"/>
                            </a:rPr>
                            <m:t>𝑛</m:t>
                          </m:r>
                          <m:r>
                            <a:rPr lang="en-US" sz="1000" b="0" i="1">
                              <a:latin typeface="Cambria Math"/>
                              <a:ea typeface="Cambria Math"/>
                            </a:rPr>
                            <m:t>=1</m:t>
                          </m:r>
                        </m:sub>
                        <m:sup>
                          <m:r>
                            <a:rPr lang="en-US" sz="1000" b="0" i="1">
                              <a:latin typeface="Cambria Math"/>
                              <a:ea typeface="Cambria Math"/>
                            </a:rPr>
                            <m:t>𝑛</m:t>
                          </m:r>
                        </m:sup>
                        <m:e>
                          <m:sSubSup>
                            <m:sSubSupPr>
                              <m:ctrlPr>
                                <a:rPr lang="en-US" sz="1000" b="0" i="1">
                                  <a:latin typeface="Cambria Math" panose="02040503050406030204" pitchFamily="18" charset="0"/>
                                  <a:ea typeface="Cambria Math"/>
                                </a:rPr>
                              </m:ctrlPr>
                            </m:sSubSupPr>
                            <m:e>
                              <m:sSubSup>
                                <m:sSubSupPr>
                                  <m:ctrlPr>
                                    <a:rPr lang="en-US" sz="1000" b="0" i="1">
                                      <a:latin typeface="Cambria Math" panose="02040503050406030204" pitchFamily="18" charset="0"/>
                                      <a:ea typeface="Cambria Math"/>
                                    </a:rPr>
                                  </m:ctrlPr>
                                </m:sSubSupPr>
                                <m:e>
                                  <m:r>
                                    <a:rPr lang="en-US" sz="1000" b="0" i="1">
                                      <a:latin typeface="Cambria Math"/>
                                      <a:ea typeface="Cambria Math"/>
                                    </a:rPr>
                                    <m:t>𝐼</m:t>
                                  </m:r>
                                </m:e>
                                <m:sub>
                                  <m:r>
                                    <a:rPr lang="en-US" sz="1000" b="0" i="1">
                                      <a:latin typeface="Cambria Math"/>
                                      <a:ea typeface="Cambria Math"/>
                                    </a:rPr>
                                    <m:t>𝑛</m:t>
                                  </m:r>
                                </m:sub>
                                <m:sup/>
                              </m:sSubSup>
                            </m:e>
                            <m:sub/>
                            <m:sup>
                              <m:r>
                                <a:rPr lang="en-US" sz="1000" b="0" i="1">
                                  <a:latin typeface="Cambria Math"/>
                                  <a:ea typeface="Cambria Math"/>
                                </a:rPr>
                                <m:t>2</m:t>
                              </m:r>
                            </m:sup>
                          </m:sSubSup>
                        </m:e>
                      </m:nary>
                    </m:e>
                  </m:rad>
                </m:oMath>
              </a14:m>
              <a:r>
                <a:rPr lang="en-US" sz="1000" b="0"/>
                <a:t> /N</a:t>
              </a:r>
            </a:p>
          </xdr:txBody>
        </xdr:sp>
      </mc:Choice>
      <mc:Fallback xmlns="">
        <xdr:sp macro="" textlink="">
          <xdr:nvSpPr>
            <xdr:cNvPr id="18" name="TextBox 17"/>
            <xdr:cNvSpPr txBox="1"/>
          </xdr:nvSpPr>
          <xdr:spPr>
            <a:xfrm>
              <a:off x="4720736" y="9868636"/>
              <a:ext cx="2552700" cy="40884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:r>
                <a:rPr lang="en-US" sz="1000" b="0" i="0">
                  <a:latin typeface="Cambria Math"/>
                </a:rPr>
                <a:t>𝐼_(𝐶𝐴𝑃 𝑅𝑀𝑆 𝐶𝑈𝑅𝑅𝐸𝑁𝑇)</a:t>
              </a:r>
              <a:r>
                <a:rPr lang="en-US" sz="1000" b="0" i="0">
                  <a:latin typeface="Cambria Math"/>
                  <a:ea typeface="Cambria Math"/>
                </a:rPr>
                <a:t>=√(∑_(𝑛=1)^𝑛▒〖𝐼_𝑛^ 〗_^2 )</a:t>
              </a:r>
              <a:r>
                <a:rPr lang="en-US" sz="1000" b="0"/>
                <a:t> /N</a:t>
              </a:r>
            </a:p>
          </xdr:txBody>
        </xdr:sp>
      </mc:Fallback>
    </mc:AlternateContent>
    <xdr:clientData/>
  </xdr:oneCellAnchor>
  <xdr:twoCellAnchor editAs="oneCell">
    <xdr:from>
      <xdr:col>10</xdr:col>
      <xdr:colOff>1119616</xdr:colOff>
      <xdr:row>60</xdr:row>
      <xdr:rowOff>149931</xdr:rowOff>
    </xdr:from>
    <xdr:to>
      <xdr:col>12</xdr:col>
      <xdr:colOff>2</xdr:colOff>
      <xdr:row>62</xdr:row>
      <xdr:rowOff>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000"/>
        <a:stretch/>
      </xdr:blipFill>
      <xdr:spPr>
        <a:xfrm>
          <a:off x="8920591" y="14885106"/>
          <a:ext cx="1852185" cy="74541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619125</xdr:colOff>
          <xdr:row>8</xdr:row>
          <xdr:rowOff>19050</xdr:rowOff>
        </xdr:from>
        <xdr:to>
          <xdr:col>5</xdr:col>
          <xdr:colOff>619125</xdr:colOff>
          <xdr:row>8</xdr:row>
          <xdr:rowOff>209550</xdr:rowOff>
        </xdr:to>
        <xdr:sp macro="" textlink="">
          <xdr:nvSpPr>
            <xdr:cNvPr id="9217" name="Scroll Bar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3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xdr:twoCellAnchor>
    <xdr:from>
      <xdr:col>1</xdr:col>
      <xdr:colOff>733426</xdr:colOff>
      <xdr:row>141</xdr:row>
      <xdr:rowOff>95250</xdr:rowOff>
    </xdr:from>
    <xdr:to>
      <xdr:col>11</xdr:col>
      <xdr:colOff>733426</xdr:colOff>
      <xdr:row>164</xdr:row>
      <xdr:rowOff>95250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843391</xdr:colOff>
      <xdr:row>136</xdr:row>
      <xdr:rowOff>149931</xdr:rowOff>
    </xdr:from>
    <xdr:to>
      <xdr:col>11</xdr:col>
      <xdr:colOff>1685927</xdr:colOff>
      <xdr:row>137</xdr:row>
      <xdr:rowOff>438150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000"/>
        <a:stretch/>
      </xdr:blipFill>
      <xdr:spPr>
        <a:xfrm>
          <a:off x="8920591" y="30839481"/>
          <a:ext cx="1852185" cy="478719"/>
        </a:xfrm>
        <a:prstGeom prst="rect">
          <a:avLst/>
        </a:prstGeom>
      </xdr:spPr>
    </xdr:pic>
    <xdr:clientData/>
  </xdr:twoCellAnchor>
  <xdr:twoCellAnchor editAs="oneCell">
    <xdr:from>
      <xdr:col>0</xdr:col>
      <xdr:colOff>55840</xdr:colOff>
      <xdr:row>86</xdr:row>
      <xdr:rowOff>123824</xdr:rowOff>
    </xdr:from>
    <xdr:to>
      <xdr:col>4</xdr:col>
      <xdr:colOff>219075</xdr:colOff>
      <xdr:row>104</xdr:row>
      <xdr:rowOff>161923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41" t="19611" r="51227" b="11993"/>
        <a:stretch/>
      </xdr:blipFill>
      <xdr:spPr bwMode="auto">
        <a:xfrm>
          <a:off x="55840" y="21469349"/>
          <a:ext cx="4058960" cy="3495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25213</xdr:colOff>
      <xdr:row>39</xdr:row>
      <xdr:rowOff>19330</xdr:rowOff>
    </xdr:from>
    <xdr:ext cx="2552700" cy="39052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TextBox 24">
              <a:extLst>
                <a:ext uri="{FF2B5EF4-FFF2-40B4-BE49-F238E27FC236}">
                  <a16:creationId xmlns:a16="http://schemas.microsoft.com/office/drawing/2014/main" id="{00000000-0008-0000-0300-000019000000}"/>
                </a:ext>
              </a:extLst>
            </xdr:cNvPr>
            <xdr:cNvSpPr txBox="1"/>
          </xdr:nvSpPr>
          <xdr:spPr>
            <a:xfrm>
              <a:off x="4798919" y="11079536"/>
              <a:ext cx="2552700" cy="39052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14:m>
                <m:oMath xmlns:m="http://schemas.openxmlformats.org/officeDocument/2006/math">
                  <m:sSub>
                    <m:sSubPr>
                      <m:ctrlPr>
                        <a:rPr lang="en-US" sz="1000" b="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n-US" sz="1000" b="0" i="1">
                          <a:latin typeface="Cambria Math"/>
                        </a:rPr>
                        <m:t>𝑄</m:t>
                      </m:r>
                    </m:e>
                    <m:sub>
                      <m:r>
                        <a:rPr lang="en-US" sz="1000" b="0" i="1">
                          <a:latin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</a:rPr>
                        <m:t>𝐶𝐴𝑃𝐴𝐶𝐼𝑇𝑂𝑅</m:t>
                      </m:r>
                    </m:sub>
                  </m:sSub>
                  <m:r>
                    <a:rPr lang="en-US" sz="1000" b="0" i="1">
                      <a:latin typeface="Cambria Math"/>
                      <a:ea typeface="Cambria Math"/>
                    </a:rPr>
                    <m:t>=</m:t>
                  </m:r>
                  <m:nary>
                    <m:naryPr>
                      <m:chr m:val="∑"/>
                      <m:ctrlP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naryPr>
                    <m:sub>
                      <m:r>
                        <m:rPr>
                          <m:brk m:alnAt="23"/>
                        </m:rP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𝑛</m:t>
                      </m:r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=1</m:t>
                      </m:r>
                    </m:sub>
                    <m:sup>
                      <m:r>
                        <a:rPr lang="en-US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𝑛</m:t>
                      </m:r>
                    </m:sup>
                    <m:e>
                      <m:sSubSup>
                        <m:sSubSupPr>
                          <m:ctrlPr>
                            <a:rPr lang="en-US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SupPr>
                        <m:e>
                          <m:sSubSup>
                            <m:sSubSupPr>
                              <m:ctrlPr>
                                <a:rPr lang="en-US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SupPr>
                            <m:e>
                              <m:f>
                                <m:fPr>
                                  <m:ctrlPr>
                                    <a:rPr lang="en-US" sz="11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fPr>
                                <m:num>
                                  <m:sSub>
                                    <m:sSubPr>
                                      <m:ctrlPr>
                                        <a:rPr lang="en-US" sz="1100" b="0" i="1">
                                          <a:solidFill>
                                            <a:schemeClr val="tx1"/>
                                          </a:solidFill>
                                          <a:effectLst/>
                                          <a:latin typeface="Cambria Math" panose="02040503050406030204" pitchFamily="18" charset="0"/>
                                          <a:ea typeface="+mn-ea"/>
                                          <a:cs typeface="+mn-cs"/>
                                        </a:rPr>
                                      </m:ctrlPr>
                                    </m:sSubPr>
                                    <m:e>
                                      <m:r>
                                        <a:rPr lang="en-US" sz="1100" b="0" i="1">
                                          <a:solidFill>
                                            <a:schemeClr val="tx1"/>
                                          </a:solidFill>
                                          <a:effectLst/>
                                          <a:latin typeface="Cambria Math"/>
                                          <a:ea typeface="+mn-ea"/>
                                          <a:cs typeface="+mn-cs"/>
                                        </a:rPr>
                                        <m:t>𝑋</m:t>
                                      </m:r>
                                    </m:e>
                                    <m:sub>
                                      <m:r>
                                        <a:rPr lang="en-US" sz="1100" b="0" i="1">
                                          <a:solidFill>
                                            <a:schemeClr val="tx1"/>
                                          </a:solidFill>
                                          <a:effectLst/>
                                          <a:latin typeface="Cambria Math"/>
                                          <a:ea typeface="+mn-ea"/>
                                          <a:cs typeface="+mn-cs"/>
                                        </a:rPr>
                                        <m:t>𝑐</m:t>
                                      </m:r>
                                    </m:sub>
                                  </m:sSub>
                                </m:num>
                                <m:den>
                                  <m:r>
                                    <a:rPr lang="en-US" sz="11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/>
                                      <a:ea typeface="+mn-ea"/>
                                      <a:cs typeface="+mn-cs"/>
                                    </a:rPr>
                                    <m:t>𝑛</m:t>
                                  </m:r>
                                </m:den>
                              </m:f>
                              <m:r>
                                <a:rPr lang="en-US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 </m:t>
                              </m:r>
                              <m:r>
                                <a:rPr lang="en-US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𝑥</m:t>
                              </m:r>
                              <m:r>
                                <a:rPr lang="en-US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 </m:t>
                              </m:r>
                              <m:r>
                                <a:rPr lang="en-US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𝐼</m:t>
                              </m:r>
                            </m:e>
                            <m:sub>
                              <m:r>
                                <a:rPr lang="en-US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𝑛</m:t>
                              </m:r>
                            </m:sub>
                            <m:sup/>
                          </m:sSubSup>
                        </m:e>
                        <m:sub/>
                        <m:sup>
                          <m:r>
                            <a:rPr lang="en-US" sz="11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</m:t>
                          </m:r>
                        </m:sup>
                      </m:sSubSup>
                    </m:e>
                  </m:nary>
                </m:oMath>
              </a14:m>
              <a:r>
                <a:rPr lang="en-US" sz="1000" b="0"/>
                <a:t> /1000</a:t>
              </a:r>
            </a:p>
          </xdr:txBody>
        </xdr:sp>
      </mc:Choice>
      <mc:Fallback xmlns="">
        <xdr:sp macro="" textlink="">
          <xdr:nvSpPr>
            <xdr:cNvPr id="25" name="TextBox 24"/>
            <xdr:cNvSpPr txBox="1"/>
          </xdr:nvSpPr>
          <xdr:spPr>
            <a:xfrm>
              <a:off x="4798919" y="11079536"/>
              <a:ext cx="2552700" cy="39052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l"/>
              <a:r>
                <a:rPr lang="en-US" sz="1000" b="0" i="0">
                  <a:latin typeface="Cambria Math"/>
                </a:rPr>
                <a:t>𝑄_( 𝐶𝐴𝑃𝐴𝐶𝐼𝑇𝑂𝑅)</a:t>
              </a:r>
              <a:r>
                <a:rPr lang="en-US" sz="1000" b="0" i="0">
                  <a:latin typeface="Cambria Math"/>
                  <a:ea typeface="Cambria Math"/>
                </a:rPr>
                <a:t>=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∑_(𝑛=1)^𝑛▒〖〖𝑋_𝑐/𝑛  𝑥 𝐼〗_𝑛^ 〗_^2 </a:t>
              </a:r>
              <a:r>
                <a:rPr lang="en-US" sz="1000" b="0"/>
                <a:t> /1000</a:t>
              </a:r>
            </a:p>
          </xdr:txBody>
        </xdr:sp>
      </mc:Fallback>
    </mc:AlternateContent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7</xdr:row>
      <xdr:rowOff>19049</xdr:rowOff>
    </xdr:from>
    <xdr:to>
      <xdr:col>7</xdr:col>
      <xdr:colOff>152400</xdr:colOff>
      <xdr:row>9</xdr:row>
      <xdr:rowOff>99324</xdr:rowOff>
    </xdr:to>
    <xdr:pic>
      <xdr:nvPicPr>
        <xdr:cNvPr id="3" name="Picture 2" descr="Screen Clippi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66" t="16708" r="16188"/>
        <a:stretch/>
      </xdr:blipFill>
      <xdr:spPr>
        <a:xfrm>
          <a:off x="4552950" y="1857374"/>
          <a:ext cx="1447800" cy="556525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762000</xdr:colOff>
      <xdr:row>0</xdr:row>
      <xdr:rowOff>50456</xdr:rowOff>
    </xdr:from>
    <xdr:to>
      <xdr:col>11</xdr:col>
      <xdr:colOff>1624749</xdr:colOff>
      <xdr:row>2</xdr:row>
      <xdr:rowOff>415252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9150" y="50456"/>
          <a:ext cx="1710474" cy="764846"/>
        </a:xfrm>
        <a:prstGeom prst="rect">
          <a:avLst/>
        </a:prstGeom>
      </xdr:spPr>
    </xdr:pic>
    <xdr:clientData/>
  </xdr:twoCellAnchor>
  <xdr:oneCellAnchor>
    <xdr:from>
      <xdr:col>5</xdr:col>
      <xdr:colOff>9525</xdr:colOff>
      <xdr:row>11</xdr:row>
      <xdr:rowOff>85725</xdr:rowOff>
    </xdr:from>
    <xdr:ext cx="3076576" cy="43595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TextBox 17">
              <a:extLst>
                <a:ext uri="{FF2B5EF4-FFF2-40B4-BE49-F238E27FC236}">
                  <a16:creationId xmlns:a16="http://schemas.microsoft.com/office/drawing/2014/main" id="{00000000-0008-0000-0400-000012000000}"/>
                </a:ext>
              </a:extLst>
            </xdr:cNvPr>
            <xdr:cNvSpPr txBox="1"/>
          </xdr:nvSpPr>
          <xdr:spPr>
            <a:xfrm>
              <a:off x="4524375" y="2838450"/>
              <a:ext cx="3076576" cy="4359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0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000" b="0" i="1">
                            <a:latin typeface="Cambria Math"/>
                          </a:rPr>
                          <m:t>𝐼</m:t>
                        </m:r>
                      </m:e>
                      <m:sub>
                        <m:r>
                          <a:rPr lang="en-US" sz="1000" b="0" i="1">
                            <a:latin typeface="Cambria Math"/>
                          </a:rPr>
                          <m:t>𝑅𝐴𝑇𝐸𝐷</m:t>
                        </m:r>
                        <m:r>
                          <a:rPr lang="en-US" sz="1000" b="0" i="1">
                            <a:latin typeface="Cambria Math"/>
                          </a:rPr>
                          <m:t> </m:t>
                        </m:r>
                        <m:r>
                          <a:rPr lang="en-US" sz="1000" b="0" i="1">
                            <a:latin typeface="Cambria Math"/>
                          </a:rPr>
                          <m:t>𝐹𝑈𝑁𝐷𝐴𝑀𝐸𝑁𝑇𝐴𝐿</m:t>
                        </m:r>
                      </m:sub>
                    </m:sSub>
                    <m:r>
                      <a:rPr lang="en-US" sz="1000" b="0" i="1">
                        <a:latin typeface="Cambria Math"/>
                        <a:ea typeface="Cambria Math"/>
                      </a:rPr>
                      <m:t>= </m:t>
                    </m:r>
                    <m:f>
                      <m:fPr>
                        <m:ctrlPr>
                          <a:rPr lang="en-US" sz="1000" b="0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US" sz="10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0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𝑄</m:t>
                            </m:r>
                          </m:e>
                          <m:sub>
                            <m:r>
                              <a:rPr lang="en-US" sz="10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𝑒𝑓𝑓</m:t>
                            </m:r>
                          </m:sub>
                        </m:sSub>
                      </m:num>
                      <m:den>
                        <m:r>
                          <a:rPr lang="en-US" sz="1000" b="0" i="1">
                            <a:latin typeface="Cambria Math"/>
                            <a:ea typeface="Cambria Math"/>
                          </a:rPr>
                          <m:t>1.73×</m:t>
                        </m:r>
                        <m:sSup>
                          <m:sSupPr>
                            <m:ctrlPr>
                              <a:rPr lang="en-US" sz="1000" b="0" i="1">
                                <a:latin typeface="Cambria Math" panose="02040503050406030204" pitchFamily="18" charset="0"/>
                                <a:ea typeface="Cambria Math"/>
                              </a:rPr>
                            </m:ctrlPr>
                          </m:sSupPr>
                          <m:e>
                            <m:sSub>
                              <m:sSubPr>
                                <m:ctrlPr>
                                  <a:rPr lang="en-US" sz="10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sz="10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𝑘𝑉</m:t>
                                </m:r>
                              </m:e>
                              <m:sub>
                                <m:r>
                                  <a:rPr lang="en-US" sz="10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𝐿𝐿𝑆𝑌𝑆</m:t>
                                </m:r>
                              </m:sub>
                            </m:sSub>
                          </m:e>
                          <m:sup>
                            <m:r>
                              <a:rPr lang="en-US" sz="1000" b="0" i="1">
                                <a:latin typeface="Cambria Math"/>
                                <a:ea typeface="Cambria Math"/>
                              </a:rPr>
                              <m:t>2</m:t>
                            </m:r>
                          </m:sup>
                        </m:sSup>
                      </m:den>
                    </m:f>
                    <m:r>
                      <a:rPr lang="en-US" sz="1000" b="0" i="1">
                        <a:latin typeface="Cambria Math"/>
                        <a:ea typeface="Cambria Math"/>
                      </a:rPr>
                      <m:t>×1000</m:t>
                    </m:r>
                  </m:oMath>
                </m:oMathPara>
              </a14:m>
              <a:endParaRPr lang="en-US" sz="1000" b="0"/>
            </a:p>
          </xdr:txBody>
        </xdr:sp>
      </mc:Choice>
      <mc:Fallback xmlns="">
        <xdr:sp macro="" textlink="">
          <xdr:nvSpPr>
            <xdr:cNvPr id="18" name="TextBox 17"/>
            <xdr:cNvSpPr txBox="1"/>
          </xdr:nvSpPr>
          <xdr:spPr>
            <a:xfrm>
              <a:off x="4524375" y="2838450"/>
              <a:ext cx="3076576" cy="4359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en-US" sz="1000" b="0" i="0">
                  <a:latin typeface="Cambria Math"/>
                </a:rPr>
                <a:t>𝐼_(𝑅𝐴𝑇𝐸𝐷 𝐹𝑈𝑁𝐷𝐴𝑀𝐸𝑁𝑇𝐴𝐿)</a:t>
              </a:r>
              <a:r>
                <a:rPr lang="en-US" sz="1000" b="0" i="0">
                  <a:latin typeface="Cambria Math"/>
                  <a:ea typeface="Cambria Math"/>
                </a:rPr>
                <a:t>= 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 𝑄_𝑒𝑓𝑓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Cambria Math"/>
                  <a:cs typeface="+mn-cs"/>
                </a:rPr>
                <a:t>/(</a:t>
              </a:r>
              <a:r>
                <a:rPr lang="en-US" sz="1000" b="0" i="0">
                  <a:latin typeface="Cambria Math"/>
                  <a:ea typeface="Cambria Math"/>
                </a:rPr>
                <a:t>1.73×〖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〖𝑘𝑉〗_𝐿𝐿𝑆𝑌𝑆</a:t>
              </a:r>
              <a:r>
                <a:rPr lang="en-US" sz="1000" b="0" i="0">
                  <a:solidFill>
                    <a:schemeClr val="tx1"/>
                  </a:solidFill>
                  <a:effectLst/>
                  <a:latin typeface="Cambria Math"/>
                  <a:ea typeface="Cambria Math"/>
                  <a:cs typeface="+mn-cs"/>
                </a:rPr>
                <a:t>〗^</a:t>
              </a:r>
              <a:r>
                <a:rPr lang="en-US" sz="1000" b="0" i="0">
                  <a:latin typeface="Cambria Math"/>
                  <a:ea typeface="Cambria Math"/>
                </a:rPr>
                <a:t>2 )×1000</a:t>
              </a:r>
              <a:endParaRPr lang="en-US" sz="1000" b="0"/>
            </a:p>
          </xdr:txBody>
        </xdr:sp>
      </mc:Fallback>
    </mc:AlternateContent>
    <xdr:clientData/>
  </xdr:oneCellAnchor>
  <xdr:oneCellAnchor>
    <xdr:from>
      <xdr:col>5</xdr:col>
      <xdr:colOff>0</xdr:colOff>
      <xdr:row>9</xdr:row>
      <xdr:rowOff>161925</xdr:rowOff>
    </xdr:from>
    <xdr:ext cx="2133601" cy="38779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TextBox 18">
              <a:extLst>
                <a:ext uri="{FF2B5EF4-FFF2-40B4-BE49-F238E27FC236}">
                  <a16:creationId xmlns:a16="http://schemas.microsoft.com/office/drawing/2014/main" id="{00000000-0008-0000-0400-000013000000}"/>
                </a:ext>
              </a:extLst>
            </xdr:cNvPr>
            <xdr:cNvSpPr txBox="1"/>
          </xdr:nvSpPr>
          <xdr:spPr>
            <a:xfrm>
              <a:off x="4514850" y="2476500"/>
              <a:ext cx="2133601" cy="3877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n-US" sz="1200" b="0" i="1">
                      <a:latin typeface="Cambria Math"/>
                    </a:rPr>
                    <m:t>𝐻</m:t>
                  </m:r>
                  <m:r>
                    <a:rPr lang="en-US" sz="1200" b="0" i="1">
                      <a:latin typeface="Cambria Math"/>
                      <a:ea typeface="Cambria Math"/>
                    </a:rPr>
                    <m:t>=</m:t>
                  </m:r>
                  <m:f>
                    <m:fPr>
                      <m:ctrlPr>
                        <a:rPr lang="en-US" sz="1200" b="0" i="1">
                          <a:latin typeface="Cambria Math" panose="02040503050406030204" pitchFamily="18" charset="0"/>
                          <a:ea typeface="Cambria Math"/>
                        </a:rPr>
                      </m:ctrlPr>
                    </m:fPr>
                    <m:num>
                      <m:sSub>
                        <m:sSubPr>
                          <m:ctrlPr>
                            <a:rPr lang="en-US" sz="1200" b="0" i="1">
                              <a:latin typeface="Cambria Math" panose="02040503050406030204" pitchFamily="18" charset="0"/>
                              <a:ea typeface="Cambria Math"/>
                            </a:rPr>
                          </m:ctrlPr>
                        </m:sSubPr>
                        <m:e>
                          <m:r>
                            <a:rPr lang="en-US" sz="1200" b="0" i="1">
                              <a:latin typeface="Cambria Math"/>
                              <a:ea typeface="Cambria Math"/>
                            </a:rPr>
                            <m:t>𝑋</m:t>
                          </m:r>
                        </m:e>
                        <m:sub>
                          <m:r>
                            <a:rPr lang="en-US" sz="1200" b="0" i="1">
                              <a:latin typeface="Cambria Math"/>
                              <a:ea typeface="Cambria Math"/>
                            </a:rPr>
                            <m:t>𝑒𝑓𝑓</m:t>
                          </m:r>
                        </m:sub>
                      </m:sSub>
                    </m:num>
                    <m:den>
                      <m:r>
                        <a:rPr lang="en-US" sz="1200" b="0" i="1">
                          <a:latin typeface="Cambria Math"/>
                          <a:ea typeface="Cambria Math"/>
                        </a:rPr>
                        <m:t>2</m:t>
                      </m:r>
                      <m:r>
                        <a:rPr lang="en-US" sz="1200" b="0" i="1">
                          <a:latin typeface="Cambria Math"/>
                          <a:ea typeface="Cambria Math"/>
                        </a:rPr>
                        <m:t>𝜋</m:t>
                      </m:r>
                      <m:r>
                        <a:rPr lang="en-US" sz="1200" b="0" i="1">
                          <a:latin typeface="Cambria Math"/>
                          <a:ea typeface="Cambria Math"/>
                        </a:rPr>
                        <m:t>𝑓</m:t>
                      </m:r>
                    </m:den>
                  </m:f>
                  <m:r>
                    <a:rPr lang="en-US" sz="1200" b="0" i="1">
                      <a:latin typeface="Cambria Math"/>
                      <a:ea typeface="Cambria Math"/>
                    </a:rPr>
                    <m:t>×1000</m:t>
                  </m:r>
                </m:oMath>
              </a14:m>
              <a:r>
                <a:rPr lang="en-US" sz="1200"/>
                <a:t> </a:t>
              </a:r>
            </a:p>
          </xdr:txBody>
        </xdr:sp>
      </mc:Choice>
      <mc:Fallback xmlns="">
        <xdr:sp macro="" textlink="">
          <xdr:nvSpPr>
            <xdr:cNvPr id="19" name="TextBox 18"/>
            <xdr:cNvSpPr txBox="1"/>
          </xdr:nvSpPr>
          <xdr:spPr>
            <a:xfrm>
              <a:off x="4514850" y="2476500"/>
              <a:ext cx="2133601" cy="3877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1200" b="0" i="0">
                  <a:latin typeface="Cambria Math"/>
                </a:rPr>
                <a:t>𝐻</a:t>
              </a:r>
              <a:r>
                <a:rPr lang="en-US" sz="1200" b="0" i="0">
                  <a:latin typeface="Cambria Math"/>
                  <a:ea typeface="Cambria Math"/>
                </a:rPr>
                <a:t>=𝑋_𝑒𝑓𝑓/2𝜋𝑓×1000</a:t>
              </a:r>
              <a:r>
                <a:rPr lang="en-US" sz="1200"/>
                <a:t> </a:t>
              </a:r>
            </a:p>
          </xdr:txBody>
        </xdr:sp>
      </mc:Fallback>
    </mc:AlternateContent>
    <xdr:clientData/>
  </xdr:oneCellAnchor>
  <xdr:oneCellAnchor>
    <xdr:from>
      <xdr:col>5</xdr:col>
      <xdr:colOff>0</xdr:colOff>
      <xdr:row>21</xdr:row>
      <xdr:rowOff>9525</xdr:rowOff>
    </xdr:from>
    <xdr:ext cx="4486275" cy="25731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TextBox 19">
              <a:extLst>
                <a:ext uri="{FF2B5EF4-FFF2-40B4-BE49-F238E27FC236}">
                  <a16:creationId xmlns:a16="http://schemas.microsoft.com/office/drawing/2014/main" id="{00000000-0008-0000-0400-000014000000}"/>
                </a:ext>
              </a:extLst>
            </xdr:cNvPr>
            <xdr:cNvSpPr txBox="1"/>
          </xdr:nvSpPr>
          <xdr:spPr>
            <a:xfrm>
              <a:off x="4514850" y="4238625"/>
              <a:ext cx="4486275" cy="2573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US" sz="1000" b="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n-US" sz="1000" b="0" i="1">
                          <a:latin typeface="Cambria Math"/>
                        </a:rPr>
                        <m:t>𝐼</m:t>
                      </m:r>
                    </m:e>
                    <m:sub>
                      <m:r>
                        <a:rPr lang="en-US" sz="1000" b="0" i="1">
                          <a:latin typeface="Cambria Math"/>
                        </a:rPr>
                        <m:t>𝑅𝐸𝑄𝑈𝐸𝑆𝑇𝐸𝐷</m:t>
                      </m:r>
                      <m:r>
                        <a:rPr lang="en-US" sz="1000" b="0" i="1">
                          <a:latin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</a:rPr>
                        <m:t>𝐶𝑈𝑅𝑅𝐸𝑁𝑇</m:t>
                      </m:r>
                      <m:r>
                        <a:rPr lang="en-US" sz="1000" b="0" i="1">
                          <a:latin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</a:rPr>
                        <m:t>𝑅𝐴𝑇𝐼𝑁𝐺</m:t>
                      </m:r>
                    </m:sub>
                  </m:sSub>
                  <m:r>
                    <a:rPr lang="en-US" sz="1000" b="0" i="1">
                      <a:latin typeface="Cambria Math"/>
                      <a:ea typeface="Cambria Math"/>
                    </a:rPr>
                    <m:t>=  </m:t>
                  </m:r>
                  <m:sSub>
                    <m:sSubPr>
                      <m:ctrlPr>
                        <a:rPr lang="en-US" sz="1000" b="0" i="1">
                          <a:latin typeface="Cambria Math" panose="02040503050406030204" pitchFamily="18" charset="0"/>
                          <a:ea typeface="Cambria Math"/>
                        </a:rPr>
                      </m:ctrlPr>
                    </m:sSubPr>
                    <m:e>
                      <m:r>
                        <a:rPr lang="en-US" sz="1000" b="0" i="1">
                          <a:latin typeface="Cambria Math"/>
                          <a:ea typeface="Cambria Math"/>
                        </a:rPr>
                        <m:t>𝐼</m:t>
                      </m:r>
                    </m:e>
                    <m:sub>
                      <m:r>
                        <a:rPr lang="en-US" sz="1000" b="0" i="1">
                          <a:latin typeface="Cambria Math"/>
                          <a:ea typeface="Cambria Math"/>
                        </a:rPr>
                        <m:t>𝑅𝐴𝑇𝐸𝐷</m:t>
                      </m:r>
                      <m:r>
                        <a:rPr lang="en-US" sz="1000" b="0" i="1">
                          <a:latin typeface="Cambria Math"/>
                          <a:ea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  <a:ea typeface="Cambria Math"/>
                        </a:rPr>
                        <m:t>𝐹𝑈𝑁𝐷𝐴𝑀𝐸𝑁𝑇𝐴𝐿</m:t>
                      </m:r>
                      <m:r>
                        <a:rPr lang="en-US" sz="1000" b="0" i="1">
                          <a:latin typeface="Cambria Math"/>
                          <a:ea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  <a:ea typeface="Cambria Math"/>
                        </a:rPr>
                        <m:t>𝐶𝑈𝑅𝑅𝐸𝑁𝑇</m:t>
                      </m:r>
                    </m:sub>
                  </m:sSub>
                  <m:r>
                    <a:rPr lang="en-US" sz="1000" b="0" i="1">
                      <a:latin typeface="Cambria Math"/>
                      <a:ea typeface="Cambria Math"/>
                    </a:rPr>
                    <m:t> ×1.1</m:t>
                  </m:r>
                </m:oMath>
              </a14:m>
              <a:r>
                <a:rPr lang="en-US" sz="1000" b="0"/>
                <a:t> (amps)</a:t>
              </a:r>
            </a:p>
          </xdr:txBody>
        </xdr:sp>
      </mc:Choice>
      <mc:Fallback xmlns="">
        <xdr:sp macro="" textlink="">
          <xdr:nvSpPr>
            <xdr:cNvPr id="20" name="TextBox 19"/>
            <xdr:cNvSpPr txBox="1"/>
          </xdr:nvSpPr>
          <xdr:spPr>
            <a:xfrm>
              <a:off x="4514850" y="4238625"/>
              <a:ext cx="4486275" cy="2573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1000" b="0" i="0">
                  <a:latin typeface="Cambria Math"/>
                </a:rPr>
                <a:t>𝐼_(𝑅𝐸𝑄𝑈𝐸𝑆𝑇𝐸𝐷 𝐶𝑈𝑅𝑅𝐸𝑁𝑇 𝑅𝐴𝑇𝐼𝑁𝐺)</a:t>
              </a:r>
              <a:r>
                <a:rPr lang="en-US" sz="1000" b="0" i="0">
                  <a:latin typeface="Cambria Math"/>
                  <a:ea typeface="Cambria Math"/>
                </a:rPr>
                <a:t>=  𝐼_(𝑅𝐴𝑇𝐸𝐷 𝐹𝑈𝑁𝐷𝐴𝑀𝐸𝑁𝑇𝐴𝐿 𝐶𝑈𝑅𝑅𝐸𝑁𝑇)  ×1.1</a:t>
              </a:r>
              <a:r>
                <a:rPr lang="en-US" sz="1000" b="0"/>
                <a:t> (amps)</a:t>
              </a:r>
            </a:p>
          </xdr:txBody>
        </xdr:sp>
      </mc:Fallback>
    </mc:AlternateContent>
    <xdr:clientData/>
  </xdr:oneCellAnchor>
  <xdr:oneCellAnchor>
    <xdr:from>
      <xdr:col>5</xdr:col>
      <xdr:colOff>0</xdr:colOff>
      <xdr:row>23</xdr:row>
      <xdr:rowOff>0</xdr:rowOff>
    </xdr:from>
    <xdr:ext cx="4048125" cy="26122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SpPr txBox="1"/>
          </xdr:nvSpPr>
          <xdr:spPr>
            <a:xfrm>
              <a:off x="4514850" y="4610100"/>
              <a:ext cx="4048125" cy="26122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US" sz="1000" b="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n-US" sz="1000" b="0" i="1">
                          <a:latin typeface="Cambria Math"/>
                        </a:rPr>
                        <m:t>𝑉</m:t>
                      </m:r>
                    </m:e>
                    <m:sub>
                      <m:r>
                        <a:rPr lang="en-US" sz="1000" b="0" i="1">
                          <a:latin typeface="Cambria Math"/>
                        </a:rPr>
                        <m:t>𝐴𝑐𝑐𝑟𝑜𝑠𝑠</m:t>
                      </m:r>
                      <m:r>
                        <a:rPr lang="en-US" sz="1000" b="0" i="1">
                          <a:latin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</a:rPr>
                        <m:t>𝑅𝐸𝐴𝐶𝑇𝑂𝑅</m:t>
                      </m:r>
                    </m:sub>
                  </m:sSub>
                  <m:r>
                    <a:rPr lang="en-US" sz="1000" b="0" i="1">
                      <a:latin typeface="Cambria Math"/>
                      <a:ea typeface="Cambria Math"/>
                    </a:rPr>
                    <m:t>=  </m:t>
                  </m:r>
                  <m:sSub>
                    <m:sSubPr>
                      <m:ctrlPr>
                        <a:rPr lang="en-US" sz="1000" b="0" i="1">
                          <a:latin typeface="Cambria Math" panose="02040503050406030204" pitchFamily="18" charset="0"/>
                          <a:ea typeface="Cambria Math"/>
                        </a:rPr>
                      </m:ctrlPr>
                    </m:sSubPr>
                    <m:e>
                      <m:r>
                        <a:rPr lang="en-US" sz="1000" b="0" i="1">
                          <a:latin typeface="Cambria Math"/>
                          <a:ea typeface="Cambria Math"/>
                        </a:rPr>
                        <m:t>𝐼</m:t>
                      </m:r>
                    </m:e>
                    <m:sub>
                      <m:r>
                        <a:rPr lang="en-US" sz="1000" b="0" i="1">
                          <a:latin typeface="Cambria Math"/>
                          <a:ea typeface="Cambria Math"/>
                        </a:rPr>
                        <m:t>𝑅𝐸𝑄𝑈𝐸𝑆𝑇𝐸𝐷</m:t>
                      </m:r>
                      <m:r>
                        <a:rPr lang="en-US" sz="1000" b="0" i="1">
                          <a:latin typeface="Cambria Math"/>
                          <a:ea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  <a:ea typeface="Cambria Math"/>
                        </a:rPr>
                        <m:t>𝐶𝑈𝑅𝑅𝐸𝑁𝑇</m:t>
                      </m:r>
                      <m:r>
                        <a:rPr lang="en-US" sz="1000" b="0" i="1">
                          <a:latin typeface="Cambria Math"/>
                          <a:ea typeface="Cambria Math"/>
                        </a:rPr>
                        <m:t> </m:t>
                      </m:r>
                      <m:r>
                        <a:rPr lang="en-US" sz="1000" b="0" i="1">
                          <a:latin typeface="Cambria Math"/>
                          <a:ea typeface="Cambria Math"/>
                        </a:rPr>
                        <m:t>𝑅𝐴𝑇𝐼𝑁𝐺</m:t>
                      </m:r>
                    </m:sub>
                  </m:sSub>
                  <m:r>
                    <a:rPr lang="en-US" sz="1000" b="0" i="1">
                      <a:latin typeface="Cambria Math"/>
                      <a:ea typeface="Cambria Math"/>
                    </a:rPr>
                    <m:t> ×</m:t>
                  </m:r>
                  <m:sSub>
                    <m:sSubPr>
                      <m:ctrlPr>
                        <a:rPr lang="en-US" sz="1000" b="0" i="1">
                          <a:latin typeface="Cambria Math" panose="02040503050406030204" pitchFamily="18" charset="0"/>
                          <a:ea typeface="Cambria Math"/>
                        </a:rPr>
                      </m:ctrlPr>
                    </m:sSubPr>
                    <m:e>
                      <m:r>
                        <a:rPr lang="en-US" sz="1000" b="0" i="1">
                          <a:latin typeface="Cambria Math"/>
                          <a:ea typeface="Cambria Math"/>
                        </a:rPr>
                        <m:t>𝑋</m:t>
                      </m:r>
                    </m:e>
                    <m:sub>
                      <m:r>
                        <a:rPr lang="en-US" sz="1000" b="0" i="1">
                          <a:latin typeface="Cambria Math"/>
                          <a:ea typeface="Cambria Math"/>
                        </a:rPr>
                        <m:t>𝑒𝑓𝑓</m:t>
                      </m:r>
                    </m:sub>
                  </m:sSub>
                </m:oMath>
              </a14:m>
              <a:r>
                <a:rPr lang="en-US" sz="1000" b="0"/>
                <a:t>(Volts)</a:t>
              </a:r>
            </a:p>
          </xdr:txBody>
        </xdr:sp>
      </mc:Choice>
      <mc:Fallback xmlns="">
        <xdr:sp macro="" textlink="">
          <xdr:nvSpPr>
            <xdr:cNvPr id="7" name="TextBox 6"/>
            <xdr:cNvSpPr txBox="1"/>
          </xdr:nvSpPr>
          <xdr:spPr>
            <a:xfrm>
              <a:off x="4514850" y="4610100"/>
              <a:ext cx="4048125" cy="26122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en-US" sz="1000" b="0" i="0">
                  <a:latin typeface="Cambria Math"/>
                </a:rPr>
                <a:t>𝑉_(𝐴𝑐𝑐𝑟𝑜𝑠𝑠 𝑅𝐸𝐴𝐶𝑇𝑂𝑅)</a:t>
              </a:r>
              <a:r>
                <a:rPr lang="en-US" sz="1000" b="0" i="0">
                  <a:latin typeface="Cambria Math"/>
                  <a:ea typeface="Cambria Math"/>
                </a:rPr>
                <a:t>=  𝐼_(𝑅𝐸𝑄𝑈𝐸𝑆𝑇𝐸𝐷 𝐶𝑈𝑅𝑅𝐸𝑁𝑇 𝑅𝐴𝑇𝐼𝑁𝐺)  ×𝑋_𝑒𝑓𝑓</a:t>
              </a:r>
              <a:r>
                <a:rPr lang="en-US" sz="1000" b="0"/>
                <a:t>(Volts)</a:t>
              </a:r>
            </a:p>
          </xdr:txBody>
        </xdr:sp>
      </mc:Fallback>
    </mc:AlternateContent>
    <xdr:clientData/>
  </xdr:oneCellAnchor>
  <xdr:twoCellAnchor>
    <xdr:from>
      <xdr:col>11</xdr:col>
      <xdr:colOff>76200</xdr:colOff>
      <xdr:row>17</xdr:row>
      <xdr:rowOff>123825</xdr:rowOff>
    </xdr:from>
    <xdr:to>
      <xdr:col>11</xdr:col>
      <xdr:colOff>1638300</xdr:colOff>
      <xdr:row>30</xdr:row>
      <xdr:rowOff>85725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8601075" y="4152900"/>
          <a:ext cx="1562100" cy="13049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The 1.1 Multiplier on amps allows for operation at 10% Over-voltage .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70596</xdr:colOff>
      <xdr:row>0</xdr:row>
      <xdr:rowOff>152400</xdr:rowOff>
    </xdr:from>
    <xdr:to>
      <xdr:col>10</xdr:col>
      <xdr:colOff>171449</xdr:colOff>
      <xdr:row>25</xdr:row>
      <xdr:rowOff>57150</xdr:rowOff>
    </xdr:to>
    <xdr:pic>
      <xdr:nvPicPr>
        <xdr:cNvPr id="2" name="1A15E2C0-B786-4708-A3A6-201C49B50B17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96" y="152400"/>
          <a:ext cx="6196853" cy="466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266699</xdr:colOff>
      <xdr:row>0</xdr:row>
      <xdr:rowOff>180975</xdr:rowOff>
    </xdr:from>
    <xdr:to>
      <xdr:col>20</xdr:col>
      <xdr:colOff>295274</xdr:colOff>
      <xdr:row>25</xdr:row>
      <xdr:rowOff>31288</xdr:rowOff>
    </xdr:to>
    <xdr:pic>
      <xdr:nvPicPr>
        <xdr:cNvPr id="3" name="BC7469DF-48C5-4C6C-944A-01CDF8B1CAA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699" y="180975"/>
          <a:ext cx="6124575" cy="4612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25</xdr:row>
      <xdr:rowOff>133351</xdr:rowOff>
    </xdr:from>
    <xdr:to>
      <xdr:col>10</xdr:col>
      <xdr:colOff>148637</xdr:colOff>
      <xdr:row>50</xdr:row>
      <xdr:rowOff>9525</xdr:rowOff>
    </xdr:to>
    <xdr:pic>
      <xdr:nvPicPr>
        <xdr:cNvPr id="4" name="160222F1-5678-4B95-8A8D-40E04D43781E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895851"/>
          <a:ext cx="6158912" cy="4638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297996</xdr:colOff>
      <xdr:row>25</xdr:row>
      <xdr:rowOff>161925</xdr:rowOff>
    </xdr:from>
    <xdr:to>
      <xdr:col>20</xdr:col>
      <xdr:colOff>322968</xdr:colOff>
      <xdr:row>50</xdr:row>
      <xdr:rowOff>9524</xdr:rowOff>
    </xdr:to>
    <xdr:pic>
      <xdr:nvPicPr>
        <xdr:cNvPr id="5" name="54EE6E31-29FC-4AE3-946A-F8846341B161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3996" y="4924425"/>
          <a:ext cx="6120972" cy="4610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50</xdr:row>
      <xdr:rowOff>57150</xdr:rowOff>
    </xdr:from>
    <xdr:to>
      <xdr:col>10</xdr:col>
      <xdr:colOff>104294</xdr:colOff>
      <xdr:row>74</xdr:row>
      <xdr:rowOff>104774</xdr:rowOff>
    </xdr:to>
    <xdr:pic>
      <xdr:nvPicPr>
        <xdr:cNvPr id="6" name="4999412D-170F-4E53-9891-B5E813A05553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9582150"/>
          <a:ext cx="6133619" cy="4619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142875</xdr:colOff>
      <xdr:row>50</xdr:row>
      <xdr:rowOff>171450</xdr:rowOff>
    </xdr:from>
    <xdr:to>
      <xdr:col>20</xdr:col>
      <xdr:colOff>281666</xdr:colOff>
      <xdr:row>75</xdr:row>
      <xdr:rowOff>104774</xdr:rowOff>
    </xdr:to>
    <xdr:pic>
      <xdr:nvPicPr>
        <xdr:cNvPr id="7" name="75568D40-D996-4E2D-B263-F3841AE39861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9696450"/>
          <a:ext cx="6234791" cy="4695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75</xdr:row>
      <xdr:rowOff>66675</xdr:rowOff>
    </xdr:from>
    <xdr:to>
      <xdr:col>10</xdr:col>
      <xdr:colOff>100853</xdr:colOff>
      <xdr:row>99</xdr:row>
      <xdr:rowOff>161925</xdr:rowOff>
    </xdr:to>
    <xdr:pic>
      <xdr:nvPicPr>
        <xdr:cNvPr id="8" name="A7133A1E-37EB-48D0-9AC9-A816F06ED2EB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354175"/>
          <a:ext cx="6196853" cy="466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161925</xdr:colOff>
      <xdr:row>75</xdr:row>
      <xdr:rowOff>180975</xdr:rowOff>
    </xdr:from>
    <xdr:to>
      <xdr:col>20</xdr:col>
      <xdr:colOff>363951</xdr:colOff>
      <xdr:row>100</xdr:row>
      <xdr:rowOff>161925</xdr:rowOff>
    </xdr:to>
    <xdr:pic>
      <xdr:nvPicPr>
        <xdr:cNvPr id="9" name="F1BCA998-6E24-4900-B019-1F646BB2AB21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5" y="14468475"/>
          <a:ext cx="6298026" cy="474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12</xdr:row>
      <xdr:rowOff>152400</xdr:rowOff>
    </xdr:from>
    <xdr:to>
      <xdr:col>5</xdr:col>
      <xdr:colOff>276225</xdr:colOff>
      <xdr:row>14</xdr:row>
      <xdr:rowOff>9525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2114550" y="2438400"/>
          <a:ext cx="1209675" cy="238125"/>
        </a:xfrm>
        <a:prstGeom prst="rect">
          <a:avLst/>
        </a:prstGeom>
        <a:solidFill>
          <a:srgbClr val="FFFF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</xdr:col>
      <xdr:colOff>504825</xdr:colOff>
      <xdr:row>12</xdr:row>
      <xdr:rowOff>123825</xdr:rowOff>
    </xdr:from>
    <xdr:to>
      <xdr:col>15</xdr:col>
      <xdr:colOff>495300</xdr:colOff>
      <xdr:row>13</xdr:row>
      <xdr:rowOff>171450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8429625" y="2409825"/>
          <a:ext cx="1209675" cy="238125"/>
        </a:xfrm>
        <a:prstGeom prst="rect">
          <a:avLst/>
        </a:prstGeom>
        <a:solidFill>
          <a:srgbClr val="FFFF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238125</xdr:colOff>
      <xdr:row>37</xdr:row>
      <xdr:rowOff>95250</xdr:rowOff>
    </xdr:from>
    <xdr:to>
      <xdr:col>5</xdr:col>
      <xdr:colOff>228600</xdr:colOff>
      <xdr:row>38</xdr:row>
      <xdr:rowOff>142875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2066925" y="7143750"/>
          <a:ext cx="1209675" cy="238125"/>
        </a:xfrm>
        <a:prstGeom prst="rect">
          <a:avLst/>
        </a:prstGeom>
        <a:solidFill>
          <a:srgbClr val="FFFF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</xdr:col>
      <xdr:colOff>514350</xdr:colOff>
      <xdr:row>37</xdr:row>
      <xdr:rowOff>104775</xdr:rowOff>
    </xdr:from>
    <xdr:to>
      <xdr:col>15</xdr:col>
      <xdr:colOff>504825</xdr:colOff>
      <xdr:row>38</xdr:row>
      <xdr:rowOff>152400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8439150" y="7153275"/>
          <a:ext cx="1209675" cy="238125"/>
        </a:xfrm>
        <a:prstGeom prst="rect">
          <a:avLst/>
        </a:prstGeom>
        <a:solidFill>
          <a:srgbClr val="FFFF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247650</xdr:colOff>
      <xdr:row>62</xdr:row>
      <xdr:rowOff>28575</xdr:rowOff>
    </xdr:from>
    <xdr:to>
      <xdr:col>5</xdr:col>
      <xdr:colOff>238125</xdr:colOff>
      <xdr:row>63</xdr:row>
      <xdr:rowOff>76200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2076450" y="11839575"/>
          <a:ext cx="1209675" cy="238125"/>
        </a:xfrm>
        <a:prstGeom prst="rect">
          <a:avLst/>
        </a:prstGeom>
        <a:solidFill>
          <a:srgbClr val="FFFF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</xdr:col>
      <xdr:colOff>381000</xdr:colOff>
      <xdr:row>62</xdr:row>
      <xdr:rowOff>161925</xdr:rowOff>
    </xdr:from>
    <xdr:to>
      <xdr:col>15</xdr:col>
      <xdr:colOff>371475</xdr:colOff>
      <xdr:row>64</xdr:row>
      <xdr:rowOff>19050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/>
      </xdr:nvSpPr>
      <xdr:spPr>
        <a:xfrm>
          <a:off x="8305800" y="11972925"/>
          <a:ext cx="1209675" cy="238125"/>
        </a:xfrm>
        <a:prstGeom prst="rect">
          <a:avLst/>
        </a:prstGeom>
        <a:solidFill>
          <a:srgbClr val="FFFF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228600</xdr:colOff>
      <xdr:row>87</xdr:row>
      <xdr:rowOff>19050</xdr:rowOff>
    </xdr:from>
    <xdr:to>
      <xdr:col>5</xdr:col>
      <xdr:colOff>219075</xdr:colOff>
      <xdr:row>88</xdr:row>
      <xdr:rowOff>66675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/>
      </xdr:nvSpPr>
      <xdr:spPr>
        <a:xfrm>
          <a:off x="2057400" y="16592550"/>
          <a:ext cx="1209675" cy="238125"/>
        </a:xfrm>
        <a:prstGeom prst="rect">
          <a:avLst/>
        </a:prstGeom>
        <a:solidFill>
          <a:srgbClr val="FFFF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</xdr:col>
      <xdr:colOff>419100</xdr:colOff>
      <xdr:row>88</xdr:row>
      <xdr:rowOff>19050</xdr:rowOff>
    </xdr:from>
    <xdr:to>
      <xdr:col>15</xdr:col>
      <xdr:colOff>409575</xdr:colOff>
      <xdr:row>89</xdr:row>
      <xdr:rowOff>66675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/>
      </xdr:nvSpPr>
      <xdr:spPr>
        <a:xfrm>
          <a:off x="8343900" y="16783050"/>
          <a:ext cx="1209675" cy="238125"/>
        </a:xfrm>
        <a:prstGeom prst="rect">
          <a:avLst/>
        </a:prstGeom>
        <a:solidFill>
          <a:srgbClr val="FFFF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rporate%20Files/Quotes/Hatch%20-%20ValeVoisey's%20Bay%20Mine%20-%202019Q122/Filter%20Design%20Data%20-%20Vale%20Voisey%20Bay%20Min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ch Filter, 2 MVAR (2)"/>
      <sheetName val="Notch Filter, 2 MVAR"/>
      <sheetName val="Notch Filter, 3 MVAR"/>
      <sheetName val="High-Pass Filter Design"/>
      <sheetName val="C-High-Pass Filter Design"/>
      <sheetName val="Notch Filter Delta Connection"/>
      <sheetName val="Shunt Reactor"/>
    </sheetNames>
    <sheetDataSet>
      <sheetData sheetId="0">
        <row r="3">
          <cell r="AZ3">
            <v>1</v>
          </cell>
        </row>
      </sheetData>
      <sheetData sheetId="1">
        <row r="1">
          <cell r="BE1" t="str">
            <v>SD - Standard Duty Capacitors, with -40C to +55C Temperature Rating</v>
          </cell>
        </row>
        <row r="2">
          <cell r="BE2" t="str">
            <v>HD- Heavy Duty Capacitors, with -40C to +55C Temperature Rating</v>
          </cell>
        </row>
        <row r="3">
          <cell r="BE3" t="str">
            <v>EXD - Extreme Duty Capacitors, with -50C to +55C Temperature Rating</v>
          </cell>
        </row>
      </sheetData>
      <sheetData sheetId="2"/>
      <sheetData sheetId="3">
        <row r="3">
          <cell r="AZ3">
            <v>1</v>
          </cell>
          <cell r="BA3">
            <v>38.131035119690992</v>
          </cell>
        </row>
        <row r="4">
          <cell r="AZ4">
            <v>1.2</v>
          </cell>
          <cell r="BA4">
            <v>30.920076222842841</v>
          </cell>
        </row>
        <row r="5">
          <cell r="AZ5">
            <v>1.4</v>
          </cell>
          <cell r="BA5">
            <v>25.65010990486325</v>
          </cell>
        </row>
        <row r="6">
          <cell r="AZ6">
            <v>1.5999999999999999</v>
          </cell>
          <cell r="BA6">
            <v>21.600012868349673</v>
          </cell>
        </row>
        <row r="7">
          <cell r="AZ7">
            <v>1.7999999999999998</v>
          </cell>
          <cell r="BA7">
            <v>18.37060438670558</v>
          </cell>
        </row>
        <row r="8">
          <cell r="AZ8">
            <v>1.9999999999999998</v>
          </cell>
          <cell r="BA8">
            <v>15.724006097072984</v>
          </cell>
        </row>
        <row r="9">
          <cell r="AZ9">
            <v>2.1999999999999997</v>
          </cell>
          <cell r="BA9">
            <v>13.510771027023392</v>
          </cell>
        </row>
        <row r="10">
          <cell r="AZ10">
            <v>2.4</v>
          </cell>
          <cell r="BA10">
            <v>11.63364636822136</v>
          </cell>
        </row>
        <row r="11">
          <cell r="AZ11">
            <v>2.6</v>
          </cell>
          <cell r="BA11">
            <v>10.028323213997252</v>
          </cell>
        </row>
        <row r="12">
          <cell r="AZ12">
            <v>2.8000000000000003</v>
          </cell>
          <cell r="BA12">
            <v>8.6527643961316105</v>
          </cell>
        </row>
        <row r="13">
          <cell r="AZ13">
            <v>3.0000000000000004</v>
          </cell>
          <cell r="BA13">
            <v>7.4811557864383946</v>
          </cell>
        </row>
        <row r="14">
          <cell r="AZ14">
            <v>3.2000000000000006</v>
          </cell>
          <cell r="BA14">
            <v>6.5003539371792982</v>
          </cell>
        </row>
        <row r="15">
          <cell r="AZ15">
            <v>3.4000000000000008</v>
          </cell>
          <cell r="BA15">
            <v>5.7072939145551</v>
          </cell>
        </row>
        <row r="16">
          <cell r="AZ16">
            <v>3.600000000000001</v>
          </cell>
          <cell r="BA16">
            <v>5.1057277441015394</v>
          </cell>
        </row>
        <row r="17">
          <cell r="AZ17">
            <v>3.8000000000000012</v>
          </cell>
          <cell r="BA17">
            <v>4.7006097511173426</v>
          </cell>
        </row>
        <row r="18">
          <cell r="AZ18">
            <v>4.0000000000000009</v>
          </cell>
          <cell r="BA18">
            <v>4.4899857726123846</v>
          </cell>
        </row>
        <row r="19">
          <cell r="AZ19">
            <v>4.2000000000000011</v>
          </cell>
          <cell r="BA19">
            <v>4.4580980627255631</v>
          </cell>
        </row>
        <row r="20">
          <cell r="AZ20">
            <v>4.4000000000000012</v>
          </cell>
          <cell r="BA20">
            <v>4.57530727387942</v>
          </cell>
        </row>
        <row r="21">
          <cell r="AZ21">
            <v>4.6000000000000014</v>
          </cell>
          <cell r="BA21">
            <v>4.8052527386322978</v>
          </cell>
        </row>
        <row r="22">
          <cell r="AZ22">
            <v>4.8000000000000016</v>
          </cell>
          <cell r="BA22">
            <v>5.1133113651587339</v>
          </cell>
        </row>
        <row r="23">
          <cell r="AZ23">
            <v>5.0000000000000018</v>
          </cell>
          <cell r="BA23">
            <v>5.4713844796072104</v>
          </cell>
        </row>
        <row r="24">
          <cell r="AZ24">
            <v>5.200000000000002</v>
          </cell>
          <cell r="BA24">
            <v>5.8587609661304034</v>
          </cell>
        </row>
        <row r="25">
          <cell r="AZ25">
            <v>5.4000000000000021</v>
          </cell>
          <cell r="BA25">
            <v>6.2609828663804974</v>
          </cell>
        </row>
        <row r="26">
          <cell r="AZ26">
            <v>5.6000000000000023</v>
          </cell>
          <cell r="BA26">
            <v>6.668250360413789</v>
          </cell>
        </row>
        <row r="27">
          <cell r="AZ27">
            <v>5.8000000000000025</v>
          </cell>
          <cell r="BA27">
            <v>7.0740316056327064</v>
          </cell>
        </row>
        <row r="28">
          <cell r="AZ28">
            <v>6.0000000000000027</v>
          </cell>
          <cell r="BA28">
            <v>7.4740280628841198</v>
          </cell>
        </row>
        <row r="29">
          <cell r="AZ29">
            <v>6.2000000000000028</v>
          </cell>
          <cell r="BA29">
            <v>7.8654540291181902</v>
          </cell>
        </row>
        <row r="30">
          <cell r="AZ30">
            <v>6.400000000000003</v>
          </cell>
          <cell r="BA30">
            <v>8.2465485549186415</v>
          </cell>
        </row>
        <row r="31">
          <cell r="AZ31">
            <v>6.6000000000000032</v>
          </cell>
          <cell r="BA31">
            <v>8.6162475172817778</v>
          </cell>
        </row>
        <row r="32">
          <cell r="AZ32">
            <v>6.8000000000000034</v>
          </cell>
          <cell r="BA32">
            <v>8.9739629516625978</v>
          </cell>
        </row>
        <row r="33">
          <cell r="AZ33">
            <v>7.0000000000000036</v>
          </cell>
          <cell r="BA33">
            <v>9.3194335862085964</v>
          </cell>
        </row>
        <row r="34">
          <cell r="AZ34">
            <v>7.2000000000000037</v>
          </cell>
          <cell r="BA34">
            <v>9.6526227034192775</v>
          </cell>
        </row>
        <row r="35">
          <cell r="AZ35">
            <v>7.4000000000000039</v>
          </cell>
          <cell r="BA35">
            <v>9.9736476675379819</v>
          </cell>
        </row>
        <row r="36">
          <cell r="AZ36">
            <v>7.6000000000000041</v>
          </cell>
          <cell r="BA36">
            <v>10.282730836040557</v>
          </cell>
        </row>
        <row r="37">
          <cell r="AZ37">
            <v>7.8000000000000043</v>
          </cell>
          <cell r="BA37">
            <v>10.580165064321067</v>
          </cell>
        </row>
        <row r="38">
          <cell r="AZ38">
            <v>8.0000000000000036</v>
          </cell>
          <cell r="BA38">
            <v>10.866289278188558</v>
          </cell>
        </row>
        <row r="39">
          <cell r="AZ39">
            <v>8.2000000000000028</v>
          </cell>
          <cell r="BA39">
            <v>11.141471067299724</v>
          </cell>
        </row>
        <row r="40">
          <cell r="AZ40">
            <v>8.4000000000000021</v>
          </cell>
          <cell r="BA40">
            <v>11.406094225685386</v>
          </cell>
        </row>
        <row r="41">
          <cell r="AZ41">
            <v>8.6000000000000014</v>
          </cell>
          <cell r="BA41">
            <v>11.660549812245499</v>
          </cell>
        </row>
        <row r="42">
          <cell r="AZ42">
            <v>8.8000000000000007</v>
          </cell>
          <cell r="BA42">
            <v>11.905229738474262</v>
          </cell>
        </row>
        <row r="44">
          <cell r="AZ44">
            <v>9</v>
          </cell>
          <cell r="BA44">
            <v>12.140522185595483</v>
          </cell>
        </row>
        <row r="45">
          <cell r="AZ45">
            <v>9.1999999999999993</v>
          </cell>
          <cell r="BA45">
            <v>12.366808355661988</v>
          </cell>
        </row>
        <row r="46">
          <cell r="AZ46">
            <v>9.3999999999999986</v>
          </cell>
          <cell r="BA46">
            <v>12.584460201495975</v>
          </cell>
        </row>
        <row r="47">
          <cell r="AZ47">
            <v>9.5999999999999979</v>
          </cell>
          <cell r="BA47">
            <v>12.793838878631357</v>
          </cell>
        </row>
        <row r="48">
          <cell r="AZ48">
            <v>9.7999999999999972</v>
          </cell>
          <cell r="BA48">
            <v>12.995293731926528</v>
          </cell>
        </row>
        <row r="49">
          <cell r="AZ49">
            <v>9.9999999999999964</v>
          </cell>
          <cell r="BA49">
            <v>13.189161679133997</v>
          </cell>
        </row>
        <row r="50">
          <cell r="AZ50">
            <v>10.199999999999996</v>
          </cell>
          <cell r="BA50">
            <v>13.375766889450096</v>
          </cell>
        </row>
        <row r="51">
          <cell r="AZ51">
            <v>10.399999999999995</v>
          </cell>
          <cell r="BA51">
            <v>13.555420681021653</v>
          </cell>
        </row>
        <row r="52">
          <cell r="AZ52">
            <v>10.599999999999994</v>
          </cell>
          <cell r="BA52">
            <v>13.728421580394921</v>
          </cell>
        </row>
        <row r="53">
          <cell r="AZ53">
            <v>10.799999999999994</v>
          </cell>
          <cell r="BA53">
            <v>13.895055500917858</v>
          </cell>
        </row>
        <row r="54">
          <cell r="AZ54">
            <v>10.999999999999993</v>
          </cell>
          <cell r="BA54">
            <v>14.055596007530356</v>
          </cell>
        </row>
        <row r="55">
          <cell r="AZ55">
            <v>11.199999999999992</v>
          </cell>
          <cell r="BA55">
            <v>14.210304643184593</v>
          </cell>
        </row>
        <row r="56">
          <cell r="AZ56">
            <v>11.399999999999991</v>
          </cell>
          <cell r="BA56">
            <v>14.359431298013908</v>
          </cell>
        </row>
        <row r="57">
          <cell r="AZ57">
            <v>11.599999999999991</v>
          </cell>
          <cell r="BA57">
            <v>14.50321460683001</v>
          </cell>
        </row>
        <row r="58">
          <cell r="AZ58">
            <v>11.79999999999999</v>
          </cell>
          <cell r="BA58">
            <v>14.641882363924358</v>
          </cell>
        </row>
        <row r="59">
          <cell r="AZ59">
            <v>11.999999999999989</v>
          </cell>
          <cell r="BA59">
            <v>14.775651946754754</v>
          </cell>
        </row>
        <row r="60">
          <cell r="AZ60">
            <v>12.199999999999989</v>
          </cell>
          <cell r="BA60">
            <v>14.904730742106855</v>
          </cell>
        </row>
        <row r="61">
          <cell r="AZ61">
            <v>12.399999999999988</v>
          </cell>
          <cell r="BA61">
            <v>15.029316569869538</v>
          </cell>
        </row>
        <row r="62">
          <cell r="AZ62">
            <v>12.599999999999987</v>
          </cell>
          <cell r="BA62">
            <v>15.149598100768861</v>
          </cell>
        </row>
        <row r="63">
          <cell r="AZ63">
            <v>12.799999999999986</v>
          </cell>
          <cell r="BA63">
            <v>15.265755265344563</v>
          </cell>
        </row>
        <row r="64">
          <cell r="AZ64">
            <v>12.999999999999986</v>
          </cell>
          <cell r="BA64">
            <v>15.377959652182083</v>
          </cell>
        </row>
        <row r="65">
          <cell r="AZ65">
            <v>13.199999999999985</v>
          </cell>
          <cell r="BA65">
            <v>15.486374893991007</v>
          </cell>
        </row>
        <row r="66">
          <cell r="AZ66">
            <v>13.399999999999984</v>
          </cell>
          <cell r="BA66">
            <v>15.59115704056293</v>
          </cell>
        </row>
        <row r="67">
          <cell r="AZ67">
            <v>13.599999999999984</v>
          </cell>
          <cell r="BA67">
            <v>15.692454917995855</v>
          </cell>
        </row>
        <row r="68">
          <cell r="AZ68">
            <v>13.799999999999983</v>
          </cell>
          <cell r="BA68">
            <v>15.790410473845053</v>
          </cell>
        </row>
        <row r="69">
          <cell r="AZ69">
            <v>13.999999999999982</v>
          </cell>
          <cell r="BA69">
            <v>15.885159108071658</v>
          </cell>
        </row>
        <row r="70">
          <cell r="AZ70">
            <v>14.199999999999982</v>
          </cell>
          <cell r="BA70">
            <v>15.976829989828239</v>
          </cell>
        </row>
        <row r="71">
          <cell r="AZ71">
            <v>14.399999999999981</v>
          </cell>
          <cell r="BA71">
            <v>16.065546360243015</v>
          </cell>
        </row>
        <row r="72">
          <cell r="AZ72">
            <v>14.59999999999998</v>
          </cell>
          <cell r="BA72">
            <v>16.151425821466358</v>
          </cell>
        </row>
        <row r="73">
          <cell r="AZ73">
            <v>14.799999999999979</v>
          </cell>
          <cell r="BA73">
            <v>16.234580612309912</v>
          </cell>
        </row>
        <row r="74">
          <cell r="AZ74">
            <v>14.999999999999979</v>
          </cell>
          <cell r="BA74">
            <v>16.31511787086686</v>
          </cell>
        </row>
        <row r="75">
          <cell r="AZ75">
            <v>15.199999999999978</v>
          </cell>
          <cell r="BA75">
            <v>16.393139884535113</v>
          </cell>
        </row>
        <row r="76">
          <cell r="AZ76">
            <v>15.399999999999977</v>
          </cell>
          <cell r="BA76">
            <v>16.46874432789442</v>
          </cell>
        </row>
        <row r="77">
          <cell r="AZ77">
            <v>15.599999999999977</v>
          </cell>
          <cell r="BA77">
            <v>16.542024488901212</v>
          </cell>
        </row>
        <row r="78">
          <cell r="AZ78">
            <v>15.799999999999976</v>
          </cell>
          <cell r="BA78">
            <v>16.61306948387486</v>
          </cell>
        </row>
        <row r="79">
          <cell r="AZ79">
            <v>15.999999999999975</v>
          </cell>
          <cell r="BA79">
            <v>16.681964461749413</v>
          </cell>
        </row>
        <row r="80">
          <cell r="AZ80">
            <v>16.199999999999974</v>
          </cell>
          <cell r="BA80">
            <v>16.748790798063979</v>
          </cell>
        </row>
        <row r="81">
          <cell r="AZ81">
            <v>16.399999999999974</v>
          </cell>
          <cell r="BA81">
            <v>16.813626279155294</v>
          </cell>
        </row>
        <row r="82">
          <cell r="AZ82">
            <v>16.599999999999973</v>
          </cell>
          <cell r="BA82">
            <v>16.87654527701055</v>
          </cell>
        </row>
        <row r="83">
          <cell r="AZ83">
            <v>16.799999999999972</v>
          </cell>
          <cell r="BA83">
            <v>16.937618915221449</v>
          </cell>
        </row>
        <row r="84">
          <cell r="AZ84">
            <v>16.999999999999972</v>
          </cell>
          <cell r="BA84">
            <v>16.996915226474446</v>
          </cell>
        </row>
        <row r="85">
          <cell r="AZ85">
            <v>17.199999999999971</v>
          </cell>
          <cell r="BA85">
            <v>17.054499301988958</v>
          </cell>
        </row>
        <row r="86">
          <cell r="AZ86">
            <v>17.39999999999997</v>
          </cell>
          <cell r="BA86">
            <v>17.110433433308838</v>
          </cell>
        </row>
        <row r="87">
          <cell r="AZ87">
            <v>17.599999999999969</v>
          </cell>
          <cell r="BA87">
            <v>17.16477724683034</v>
          </cell>
        </row>
        <row r="88">
          <cell r="AZ88">
            <v>17.799999999999969</v>
          </cell>
          <cell r="BA88">
            <v>17.217587831437562</v>
          </cell>
        </row>
        <row r="89">
          <cell r="AZ89">
            <v>17.999999999999968</v>
          </cell>
          <cell r="BA89">
            <v>17.268919859597922</v>
          </cell>
        </row>
        <row r="90">
          <cell r="AZ90">
            <v>18.199999999999967</v>
          </cell>
          <cell r="BA90">
            <v>17.318825702257158</v>
          </cell>
        </row>
        <row r="91">
          <cell r="AZ91">
            <v>18.399999999999967</v>
          </cell>
          <cell r="BA91">
            <v>17.367355537855687</v>
          </cell>
        </row>
        <row r="92">
          <cell r="AZ92">
            <v>18.599999999999966</v>
          </cell>
          <cell r="BA92">
            <v>17.414557455773146</v>
          </cell>
        </row>
        <row r="93">
          <cell r="AZ93">
            <v>18.799999999999965</v>
          </cell>
          <cell r="BA93">
            <v>17.460477554494485</v>
          </cell>
        </row>
        <row r="94">
          <cell r="AZ94">
            <v>18.999999999999964</v>
          </cell>
          <cell r="BA94">
            <v>17.505160034774168</v>
          </cell>
        </row>
        <row r="95">
          <cell r="AZ95">
            <v>19.199999999999964</v>
          </cell>
          <cell r="BA95">
            <v>17.548647288064089</v>
          </cell>
        </row>
        <row r="96">
          <cell r="AZ96">
            <v>19.399999999999963</v>
          </cell>
          <cell r="BA96">
            <v>17.590979980455192</v>
          </cell>
        </row>
        <row r="97">
          <cell r="AZ97">
            <v>19.599999999999962</v>
          </cell>
          <cell r="BA97">
            <v>17.63219713236969</v>
          </cell>
        </row>
        <row r="98">
          <cell r="AZ98">
            <v>19.799999999999962</v>
          </cell>
          <cell r="BA98">
            <v>17.672336194230837</v>
          </cell>
        </row>
        <row r="99">
          <cell r="AZ99">
            <v>19.999999999999961</v>
          </cell>
          <cell r="BA99">
            <v>17.711433118323125</v>
          </cell>
        </row>
        <row r="100">
          <cell r="AZ100">
            <v>20.19999999999996</v>
          </cell>
          <cell r="BA100">
            <v>17.749522427044571</v>
          </cell>
        </row>
        <row r="101">
          <cell r="AZ101">
            <v>20.399999999999959</v>
          </cell>
          <cell r="BA101">
            <v>17.786637277743367</v>
          </cell>
        </row>
        <row r="102">
          <cell r="AZ102">
            <v>20.599999999999959</v>
          </cell>
          <cell r="BA102">
            <v>17.822809524321002</v>
          </cell>
        </row>
        <row r="103">
          <cell r="AZ103">
            <v>20.799999999999958</v>
          </cell>
          <cell r="BA103">
            <v>17.858069775770637</v>
          </cell>
        </row>
        <row r="104">
          <cell r="AZ104">
            <v>20.999999999999957</v>
          </cell>
          <cell r="BA104">
            <v>17.89244745181697</v>
          </cell>
        </row>
        <row r="105">
          <cell r="AZ105">
            <v>21.199999999999957</v>
          </cell>
          <cell r="BA105">
            <v>17.925970835806591</v>
          </cell>
        </row>
        <row r="106">
          <cell r="AZ106">
            <v>21.399999999999956</v>
          </cell>
          <cell r="BA106">
            <v>17.958667124998748</v>
          </cell>
        </row>
        <row r="107">
          <cell r="AZ107">
            <v>21.599999999999955</v>
          </cell>
          <cell r="BA107">
            <v>17.990562478388604</v>
          </cell>
        </row>
        <row r="108">
          <cell r="AZ108">
            <v>21.799999999999955</v>
          </cell>
          <cell r="BA108">
            <v>18.021682062198444</v>
          </cell>
        </row>
        <row r="109">
          <cell r="AZ109">
            <v>21.999999999999954</v>
          </cell>
          <cell r="BA109">
            <v>18.05205009315419</v>
          </cell>
        </row>
        <row r="110">
          <cell r="AZ110">
            <v>22.199999999999953</v>
          </cell>
          <cell r="BA110">
            <v>18.081689879666062</v>
          </cell>
        </row>
        <row r="111">
          <cell r="AZ111">
            <v>22.399999999999952</v>
          </cell>
          <cell r="BA111">
            <v>18.110623861023729</v>
          </cell>
        </row>
        <row r="112">
          <cell r="AZ112">
            <v>22.599999999999952</v>
          </cell>
          <cell r="BA112">
            <v>18.138873644705679</v>
          </cell>
        </row>
        <row r="113">
          <cell r="AZ113">
            <v>22.799999999999951</v>
          </cell>
          <cell r="BA113">
            <v>18.166460041906621</v>
          </cell>
        </row>
        <row r="114">
          <cell r="AZ114">
            <v>22.99999999999995</v>
          </cell>
          <cell r="BA114">
            <v>18.193403101369935</v>
          </cell>
        </row>
        <row r="115">
          <cell r="AZ115">
            <v>23.19999999999995</v>
          </cell>
          <cell r="BA115">
            <v>18.219722141614991</v>
          </cell>
        </row>
        <row r="116">
          <cell r="AZ116">
            <v>23.399999999999949</v>
          </cell>
          <cell r="BA116">
            <v>18.245435781644076</v>
          </cell>
        </row>
        <row r="117">
          <cell r="AZ117">
            <v>23.599999999999948</v>
          </cell>
          <cell r="BA117">
            <v>18.270561970203147</v>
          </cell>
        </row>
        <row r="118">
          <cell r="AZ118">
            <v>23.799999999999947</v>
          </cell>
          <cell r="BA118">
            <v>18.295118013673356</v>
          </cell>
        </row>
        <row r="119">
          <cell r="AZ119">
            <v>23.999999999999947</v>
          </cell>
          <cell r="BA119">
            <v>18.31912060266286</v>
          </cell>
        </row>
        <row r="120">
          <cell r="AZ120">
            <v>24.199999999999946</v>
          </cell>
          <cell r="BA120">
            <v>18.342585837363657</v>
          </cell>
        </row>
        <row r="121">
          <cell r="AZ121">
            <v>24.399999999999945</v>
          </cell>
          <cell r="BA121">
            <v>18.36552925173725</v>
          </cell>
        </row>
        <row r="122">
          <cell r="AZ122">
            <v>24.599999999999945</v>
          </cell>
          <cell r="BA122">
            <v>18.38796583658905</v>
          </cell>
        </row>
        <row r="123">
          <cell r="AZ123">
            <v>24.799999999999944</v>
          </cell>
          <cell r="BA123">
            <v>18.409910061584679</v>
          </cell>
        </row>
        <row r="124">
          <cell r="AZ124">
            <v>24.999999999999943</v>
          </cell>
          <cell r="BA124">
            <v>18.431375896264743</v>
          </cell>
        </row>
        <row r="125">
          <cell r="AZ125">
            <v>25.199999999999942</v>
          </cell>
          <cell r="BA125">
            <v>18.45237683010582</v>
          </cell>
        </row>
        <row r="126">
          <cell r="AZ126">
            <v>25.399999999999942</v>
          </cell>
          <cell r="BA126">
            <v>18.472925891674905</v>
          </cell>
        </row>
        <row r="127">
          <cell r="AZ127">
            <v>25.599999999999941</v>
          </cell>
          <cell r="BA127">
            <v>18.493035666924456</v>
          </cell>
        </row>
        <row r="128">
          <cell r="AZ128">
            <v>25.79999999999994</v>
          </cell>
          <cell r="BA128">
            <v>18.512718316668629</v>
          </cell>
        </row>
        <row r="129">
          <cell r="AZ129">
            <v>25.99999999999994</v>
          </cell>
          <cell r="BA129">
            <v>18.531985593280616</v>
          </cell>
        </row>
        <row r="130">
          <cell r="AZ130">
            <v>26.199999999999939</v>
          </cell>
          <cell r="BA130">
            <v>18.550848856652209</v>
          </cell>
        </row>
        <row r="131">
          <cell r="AZ131">
            <v>26.399999999999938</v>
          </cell>
          <cell r="BA131">
            <v>18.56931908944669</v>
          </cell>
        </row>
        <row r="132">
          <cell r="AZ132">
            <v>26.599999999999937</v>
          </cell>
          <cell r="BA132">
            <v>18.5874069116851</v>
          </cell>
        </row>
        <row r="133">
          <cell r="AZ133">
            <v>26.799999999999937</v>
          </cell>
          <cell r="BA133">
            <v>18.605122594693579</v>
          </cell>
        </row>
        <row r="134">
          <cell r="AZ134">
            <v>26.999999999999936</v>
          </cell>
          <cell r="BA134">
            <v>18.622476074443824</v>
          </cell>
        </row>
        <row r="135">
          <cell r="AZ135">
            <v>27.199999999999935</v>
          </cell>
          <cell r="BA135">
            <v>18.639476964318888</v>
          </cell>
        </row>
        <row r="136">
          <cell r="AZ136">
            <v>27.399999999999935</v>
          </cell>
          <cell r="BA136">
            <v>18.656134567326038</v>
          </cell>
        </row>
        <row r="137">
          <cell r="AZ137">
            <v>27.599999999999934</v>
          </cell>
          <cell r="BA137">
            <v>18.672457887787868</v>
          </cell>
        </row>
        <row r="138">
          <cell r="AZ138">
            <v>27.799999999999933</v>
          </cell>
          <cell r="BA138">
            <v>18.688455642535011</v>
          </cell>
        </row>
        <row r="139">
          <cell r="AZ139">
            <v>27.999999999999932</v>
          </cell>
          <cell r="BA139">
            <v>18.704136271622286</v>
          </cell>
        </row>
        <row r="140">
          <cell r="AZ140">
            <v>28.199999999999932</v>
          </cell>
          <cell r="BA140">
            <v>18.719507948593346</v>
          </cell>
        </row>
        <row r="141">
          <cell r="AZ141">
            <v>28.399999999999931</v>
          </cell>
          <cell r="BA141">
            <v>18.734578590313024</v>
          </cell>
        </row>
        <row r="142">
          <cell r="AZ142">
            <v>28.59999999999993</v>
          </cell>
          <cell r="BA142">
            <v>18.749355866387948</v>
          </cell>
        </row>
        <row r="143">
          <cell r="AZ143">
            <v>28.79999999999993</v>
          </cell>
          <cell r="BA143">
            <v>18.763847208195809</v>
          </cell>
        </row>
        <row r="144">
          <cell r="AZ144">
            <v>28.999999999999929</v>
          </cell>
          <cell r="BA144">
            <v>18.778059817538807</v>
          </cell>
        </row>
        <row r="145">
          <cell r="AZ145">
            <v>29.199999999999928</v>
          </cell>
          <cell r="BA145">
            <v>18.792000674941821</v>
          </cell>
        </row>
        <row r="146">
          <cell r="AZ146">
            <v>29.399999999999928</v>
          </cell>
          <cell r="BA146">
            <v>18.805676547608343</v>
          </cell>
        </row>
        <row r="147">
          <cell r="AZ147">
            <v>29.599999999999927</v>
          </cell>
          <cell r="BA147">
            <v>18.819093997051841</v>
          </cell>
        </row>
        <row r="148">
          <cell r="AZ148">
            <v>29.799999999999926</v>
          </cell>
          <cell r="BA148">
            <v>18.832259386417494</v>
          </cell>
        </row>
        <row r="149">
          <cell r="AZ149">
            <v>29.999999999999925</v>
          </cell>
          <cell r="BA149">
            <v>18.845178887506027</v>
          </cell>
        </row>
        <row r="150">
          <cell r="AZ150">
            <v>30.199999999999925</v>
          </cell>
          <cell r="BA150">
            <v>18.857858487515653</v>
          </cell>
        </row>
        <row r="151">
          <cell r="AZ151">
            <v>30.399999999999924</v>
          </cell>
          <cell r="BA151">
            <v>18.87030399551421</v>
          </cell>
        </row>
        <row r="152">
          <cell r="AZ152">
            <v>30.599999999999923</v>
          </cell>
          <cell r="BA152">
            <v>18.882521048650688</v>
          </cell>
        </row>
        <row r="153">
          <cell r="AZ153">
            <v>30.799999999999923</v>
          </cell>
          <cell r="BA153">
            <v>18.89451511812323</v>
          </cell>
        </row>
        <row r="154">
          <cell r="AZ154">
            <v>30.999999999999922</v>
          </cell>
          <cell r="BA154">
            <v>18.906291514908752</v>
          </cell>
        </row>
        <row r="155">
          <cell r="AZ155">
            <v>31.199999999999921</v>
          </cell>
          <cell r="BA155">
            <v>18.917855395267843</v>
          </cell>
        </row>
        <row r="156">
          <cell r="AZ156">
            <v>31.39999999999992</v>
          </cell>
          <cell r="BA156">
            <v>18.929211766034655</v>
          </cell>
        </row>
        <row r="157">
          <cell r="AZ157">
            <v>31.59999999999992</v>
          </cell>
          <cell r="BA157">
            <v>18.940365489700124</v>
          </cell>
        </row>
        <row r="158">
          <cell r="AZ158">
            <v>31.799999999999919</v>
          </cell>
          <cell r="BA158">
            <v>18.95132128929751</v>
          </cell>
        </row>
        <row r="159">
          <cell r="AZ159">
            <v>31.999999999999918</v>
          </cell>
          <cell r="BA159">
            <v>18.962083753100671</v>
          </cell>
        </row>
        <row r="160">
          <cell r="AZ160">
            <v>32.199999999999918</v>
          </cell>
          <cell r="BA160">
            <v>18.972657339140497</v>
          </cell>
        </row>
        <row r="161">
          <cell r="AZ161">
            <v>32.39999999999992</v>
          </cell>
          <cell r="BA161">
            <v>18.983046379548377</v>
          </cell>
        </row>
        <row r="162">
          <cell r="AZ162">
            <v>32.599999999999923</v>
          </cell>
          <cell r="BA162">
            <v>18.993255084736415</v>
          </cell>
        </row>
        <row r="163">
          <cell r="AZ163">
            <v>32.799999999999926</v>
          </cell>
          <cell r="BA163">
            <v>19.003287547416075</v>
          </cell>
        </row>
        <row r="164">
          <cell r="AZ164">
            <v>32.999999999999929</v>
          </cell>
          <cell r="BA164">
            <v>19.013147746468057</v>
          </cell>
        </row>
        <row r="165">
          <cell r="AZ165">
            <v>33.199999999999932</v>
          </cell>
          <cell r="BA165">
            <v>19.022839550665172</v>
          </cell>
        </row>
        <row r="166">
          <cell r="AZ166">
            <v>33.399999999999935</v>
          </cell>
          <cell r="BA166">
            <v>19.032366722256498</v>
          </cell>
        </row>
        <row r="167">
          <cell r="AZ167">
            <v>33.599999999999937</v>
          </cell>
          <cell r="BA167">
            <v>19.041732920418589</v>
          </cell>
        </row>
        <row r="168">
          <cell r="AZ168">
            <v>33.79999999999994</v>
          </cell>
          <cell r="BA168">
            <v>19.050941704578044</v>
          </cell>
        </row>
        <row r="169">
          <cell r="AZ169">
            <v>33.999999999999943</v>
          </cell>
          <cell r="BA169">
            <v>19.059996537612623</v>
          </cell>
        </row>
        <row r="170">
          <cell r="AZ170">
            <v>34.199999999999946</v>
          </cell>
          <cell r="BA170">
            <v>19.068900788934091</v>
          </cell>
        </row>
        <row r="171">
          <cell r="AZ171">
            <v>34.399999999999949</v>
          </cell>
          <cell r="BA171">
            <v>19.077657737458335</v>
          </cell>
        </row>
        <row r="172">
          <cell r="AZ172">
            <v>34.599999999999952</v>
          </cell>
          <cell r="BA172">
            <v>19.08627057446893</v>
          </cell>
        </row>
        <row r="173">
          <cell r="AZ173">
            <v>34.799999999999955</v>
          </cell>
          <cell r="BA173">
            <v>19.094742406374436</v>
          </cell>
        </row>
        <row r="174">
          <cell r="AZ174">
            <v>34.999999999999957</v>
          </cell>
          <cell r="BA174">
            <v>19.103076257369214</v>
          </cell>
        </row>
        <row r="175">
          <cell r="AZ175">
            <v>35.19999999999996</v>
          </cell>
          <cell r="BA175">
            <v>19.111275071996889</v>
          </cell>
        </row>
        <row r="176">
          <cell r="AZ176">
            <v>35.399999999999963</v>
          </cell>
          <cell r="BA176">
            <v>19.11934171762223</v>
          </cell>
        </row>
        <row r="177">
          <cell r="AZ177">
            <v>35.599999999999966</v>
          </cell>
          <cell r="BA177">
            <v>19.127278986816989</v>
          </cell>
        </row>
        <row r="178">
          <cell r="AZ178">
            <v>35.799999999999969</v>
          </cell>
          <cell r="BA178">
            <v>19.135089599658901</v>
          </cell>
        </row>
        <row r="179">
          <cell r="AZ179">
            <v>35.999999999999972</v>
          </cell>
          <cell r="BA179">
            <v>19.142776205951353</v>
          </cell>
        </row>
        <row r="180">
          <cell r="AZ180">
            <v>36.199999999999974</v>
          </cell>
          <cell r="BA180">
            <v>19.15034138736474</v>
          </cell>
        </row>
        <row r="181">
          <cell r="AZ181">
            <v>36.399999999999977</v>
          </cell>
          <cell r="BA181">
            <v>19.157787659502322</v>
          </cell>
        </row>
        <row r="182">
          <cell r="AZ182">
            <v>36.59999999999998</v>
          </cell>
          <cell r="BA182">
            <v>19.165117473895773</v>
          </cell>
        </row>
        <row r="183">
          <cell r="AZ183">
            <v>36.799999999999983</v>
          </cell>
          <cell r="BA183">
            <v>19.17233321992974</v>
          </cell>
        </row>
        <row r="184">
          <cell r="AZ184">
            <v>36.999999999999986</v>
          </cell>
          <cell r="BA184">
            <v>19.179437226702117</v>
          </cell>
        </row>
        <row r="185">
          <cell r="AZ185">
            <v>37.199999999999989</v>
          </cell>
          <cell r="BA185">
            <v>19.18643176481881</v>
          </cell>
        </row>
        <row r="186">
          <cell r="AZ186">
            <v>37.399999999999991</v>
          </cell>
          <cell r="BA186">
            <v>19.193319048127499</v>
          </cell>
        </row>
        <row r="187">
          <cell r="AZ187">
            <v>37.599999999999994</v>
          </cell>
          <cell r="BA187">
            <v>19.200101235393877</v>
          </cell>
        </row>
        <row r="188">
          <cell r="AZ188">
            <v>37.799999999999997</v>
          </cell>
          <cell r="BA188">
            <v>19.206780431919107</v>
          </cell>
        </row>
        <row r="189">
          <cell r="AZ189">
            <v>38</v>
          </cell>
          <cell r="BA189">
            <v>19.213358691103593</v>
          </cell>
        </row>
        <row r="190">
          <cell r="AZ190">
            <v>38.200000000000003</v>
          </cell>
          <cell r="BA190">
            <v>19.21983801595907</v>
          </cell>
        </row>
        <row r="191">
          <cell r="AZ191">
            <v>38.400000000000006</v>
          </cell>
          <cell r="BA191">
            <v>19.226220360568469</v>
          </cell>
        </row>
        <row r="192">
          <cell r="AZ192">
            <v>38.600000000000009</v>
          </cell>
          <cell r="BA192">
            <v>19.232507631498574</v>
          </cell>
        </row>
        <row r="193">
          <cell r="AZ193">
            <v>38.800000000000011</v>
          </cell>
          <cell r="BA193">
            <v>19.238701689165538</v>
          </cell>
        </row>
        <row r="194">
          <cell r="AZ194">
            <v>39.000000000000014</v>
          </cell>
          <cell r="BA194">
            <v>19.2448043491544</v>
          </cell>
        </row>
        <row r="195">
          <cell r="AZ195">
            <v>39.200000000000017</v>
          </cell>
          <cell r="BA195">
            <v>19.250817383497004</v>
          </cell>
        </row>
        <row r="196">
          <cell r="AZ196">
            <v>39.40000000000002</v>
          </cell>
          <cell r="BA196">
            <v>19.256742521906315</v>
          </cell>
        </row>
        <row r="197">
          <cell r="AZ197">
            <v>39.600000000000023</v>
          </cell>
          <cell r="BA197">
            <v>19.2625814529714</v>
          </cell>
        </row>
        <row r="198">
          <cell r="AZ198">
            <v>39.800000000000026</v>
          </cell>
          <cell r="BA198">
            <v>19.268335825314395</v>
          </cell>
        </row>
        <row r="199">
          <cell r="AZ199">
            <v>40.000000000000028</v>
          </cell>
          <cell r="BA199">
            <v>19.274007248707616</v>
          </cell>
        </row>
        <row r="200">
          <cell r="AZ200">
            <v>40.200000000000031</v>
          </cell>
          <cell r="BA200">
            <v>19.279597295158119</v>
          </cell>
        </row>
        <row r="201">
          <cell r="AZ201">
            <v>40.400000000000034</v>
          </cell>
          <cell r="BA201">
            <v>19.285107499954368</v>
          </cell>
        </row>
        <row r="202">
          <cell r="AZ202">
            <v>40.600000000000037</v>
          </cell>
          <cell r="BA202">
            <v>19.290539362681432</v>
          </cell>
        </row>
        <row r="203">
          <cell r="AZ203">
            <v>40.80000000000004</v>
          </cell>
          <cell r="BA203">
            <v>19.29589434820361</v>
          </cell>
        </row>
        <row r="204">
          <cell r="AZ204">
            <v>41.000000000000043</v>
          </cell>
          <cell r="BA204">
            <v>19.30117388761515</v>
          </cell>
        </row>
        <row r="205">
          <cell r="AZ205">
            <v>41.200000000000045</v>
          </cell>
          <cell r="BA205">
            <v>19.306379379161822</v>
          </cell>
        </row>
        <row r="206">
          <cell r="AZ206">
            <v>41.400000000000048</v>
          </cell>
          <cell r="BA206">
            <v>19.311512189133587</v>
          </cell>
        </row>
        <row r="207">
          <cell r="AZ207">
            <v>41.600000000000051</v>
          </cell>
          <cell r="BA207">
            <v>19.316573652728604</v>
          </cell>
        </row>
        <row r="208">
          <cell r="AZ208">
            <v>41.800000000000054</v>
          </cell>
          <cell r="BA208">
            <v>19.321565074890987</v>
          </cell>
        </row>
        <row r="209">
          <cell r="AZ209">
            <v>42.000000000000057</v>
          </cell>
          <cell r="BA209">
            <v>19.326487731122864</v>
          </cell>
        </row>
        <row r="210">
          <cell r="AZ210">
            <v>42.20000000000006</v>
          </cell>
          <cell r="BA210">
            <v>19.331342868270394</v>
          </cell>
        </row>
        <row r="211">
          <cell r="AZ211">
            <v>42.400000000000063</v>
          </cell>
          <cell r="BA211">
            <v>19.336131705286359</v>
          </cell>
        </row>
        <row r="212">
          <cell r="AZ212">
            <v>42.600000000000065</v>
          </cell>
          <cell r="BA212">
            <v>19.3408554339692</v>
          </cell>
        </row>
        <row r="213">
          <cell r="AZ213">
            <v>42.800000000000068</v>
          </cell>
          <cell r="BA213">
            <v>19.345515219679601</v>
          </cell>
        </row>
        <row r="214">
          <cell r="AZ214">
            <v>43.000000000000071</v>
          </cell>
          <cell r="BA214">
            <v>19.350112202035127</v>
          </cell>
        </row>
        <row r="215">
          <cell r="AZ215">
            <v>43.200000000000074</v>
          </cell>
          <cell r="BA215">
            <v>19.354647495583869</v>
          </cell>
        </row>
        <row r="216">
          <cell r="AZ216">
            <v>43.400000000000077</v>
          </cell>
          <cell r="BA216">
            <v>19.35912219045769</v>
          </cell>
        </row>
        <row r="217">
          <cell r="AZ217">
            <v>43.60000000000008</v>
          </cell>
          <cell r="BA217">
            <v>19.363537353006961</v>
          </cell>
        </row>
        <row r="218">
          <cell r="AZ218">
            <v>43.800000000000082</v>
          </cell>
          <cell r="BA218">
            <v>19.367894026413847</v>
          </cell>
        </row>
        <row r="219">
          <cell r="AZ219">
            <v>44.000000000000085</v>
          </cell>
          <cell r="BA219">
            <v>19.372193231290211</v>
          </cell>
        </row>
        <row r="220">
          <cell r="AZ220">
            <v>44.200000000000088</v>
          </cell>
          <cell r="BA220">
            <v>19.376435966255436</v>
          </cell>
        </row>
        <row r="221">
          <cell r="AZ221">
            <v>44.400000000000091</v>
          </cell>
          <cell r="BA221">
            <v>19.380623208499326</v>
          </cell>
        </row>
        <row r="222">
          <cell r="AZ222">
            <v>44.600000000000094</v>
          </cell>
          <cell r="BA222">
            <v>19.38475591432579</v>
          </cell>
        </row>
        <row r="223">
          <cell r="AZ223">
            <v>44.800000000000097</v>
          </cell>
          <cell r="BA223">
            <v>19.388835019683462</v>
          </cell>
        </row>
        <row r="224">
          <cell r="AZ224">
            <v>45.000000000000099</v>
          </cell>
          <cell r="BA224">
            <v>19.392861440678395</v>
          </cell>
        </row>
        <row r="225">
          <cell r="AZ225">
            <v>45.200000000000102</v>
          </cell>
          <cell r="BA225">
            <v>19.396836074073615</v>
          </cell>
        </row>
        <row r="226">
          <cell r="AZ226">
            <v>45.400000000000105</v>
          </cell>
          <cell r="BA226">
            <v>19.400759797773283</v>
          </cell>
        </row>
        <row r="227">
          <cell r="AZ227">
            <v>45.600000000000108</v>
          </cell>
          <cell r="BA227">
            <v>19.404633471292737</v>
          </cell>
        </row>
        <row r="228">
          <cell r="AZ228">
            <v>45.800000000000111</v>
          </cell>
          <cell r="BA228">
            <v>19.40845793621558</v>
          </cell>
        </row>
        <row r="229">
          <cell r="AZ229">
            <v>46.000000000000114</v>
          </cell>
          <cell r="BA229">
            <v>19.412234016637719</v>
          </cell>
        </row>
        <row r="230">
          <cell r="AZ230">
            <v>46.200000000000117</v>
          </cell>
          <cell r="BA230">
            <v>19.415962519597894</v>
          </cell>
        </row>
        <row r="231">
          <cell r="AZ231">
            <v>46.400000000000119</v>
          </cell>
          <cell r="BA231">
            <v>19.419644235497056</v>
          </cell>
        </row>
        <row r="232">
          <cell r="AZ232">
            <v>46.600000000000122</v>
          </cell>
          <cell r="BA232">
            <v>19.423279938504937</v>
          </cell>
        </row>
        <row r="233">
          <cell r="AZ233">
            <v>46.800000000000125</v>
          </cell>
          <cell r="BA233">
            <v>19.426870386955564</v>
          </cell>
        </row>
        <row r="234">
          <cell r="AZ234">
            <v>47.000000000000128</v>
          </cell>
          <cell r="BA234">
            <v>19.430416323732469</v>
          </cell>
        </row>
        <row r="235">
          <cell r="AZ235">
            <v>47.200000000000131</v>
          </cell>
          <cell r="BA235">
            <v>19.433918476640898</v>
          </cell>
        </row>
        <row r="236">
          <cell r="AZ236">
            <v>47.400000000000134</v>
          </cell>
          <cell r="BA236">
            <v>19.43737755877223</v>
          </cell>
        </row>
        <row r="237">
          <cell r="AZ237">
            <v>47.600000000000136</v>
          </cell>
          <cell r="BA237">
            <v>19.440794268856134</v>
          </cell>
        </row>
        <row r="238">
          <cell r="AZ238">
            <v>47.800000000000139</v>
          </cell>
          <cell r="BA238">
            <v>19.444169291605057</v>
          </cell>
        </row>
        <row r="239">
          <cell r="AZ239">
            <v>48.000000000000142</v>
          </cell>
          <cell r="BA239">
            <v>19.44750329804668</v>
          </cell>
        </row>
        <row r="240">
          <cell r="AZ240">
            <v>48.200000000000145</v>
          </cell>
          <cell r="BA240">
            <v>19.450796945849714</v>
          </cell>
        </row>
        <row r="241">
          <cell r="AZ241">
            <v>48.400000000000148</v>
          </cell>
          <cell r="BA241">
            <v>19.454050879639066</v>
          </cell>
        </row>
        <row r="242">
          <cell r="AZ242">
            <v>48.600000000000151</v>
          </cell>
          <cell r="BA242">
            <v>19.457265731303487</v>
          </cell>
        </row>
        <row r="243">
          <cell r="AZ243">
            <v>48.800000000000153</v>
          </cell>
          <cell r="BA243">
            <v>19.460442120293735</v>
          </cell>
        </row>
        <row r="244">
          <cell r="AZ244">
            <v>49.000000000000156</v>
          </cell>
          <cell r="BA244">
            <v>19.46358065391394</v>
          </cell>
        </row>
        <row r="245">
          <cell r="AZ245">
            <v>49.200000000000159</v>
          </cell>
          <cell r="BA245">
            <v>19.466681927604167</v>
          </cell>
        </row>
        <row r="246">
          <cell r="AZ246">
            <v>49.400000000000162</v>
          </cell>
          <cell r="BA246">
            <v>19.469746525215822</v>
          </cell>
        </row>
        <row r="247">
          <cell r="AZ247">
            <v>49.600000000000165</v>
          </cell>
          <cell r="BA247">
            <v>19.472775019279389</v>
          </cell>
        </row>
        <row r="248">
          <cell r="AZ248">
            <v>49.800000000000168</v>
          </cell>
          <cell r="BA248">
            <v>19.475767971265409</v>
          </cell>
        </row>
        <row r="249">
          <cell r="AZ249">
            <v>50.000000000000171</v>
          </cell>
          <cell r="BA249">
            <v>19.478725931837864</v>
          </cell>
        </row>
      </sheetData>
      <sheetData sheetId="4">
        <row r="3">
          <cell r="AZ3">
            <v>1</v>
          </cell>
          <cell r="BA3">
            <v>38.088007808297462</v>
          </cell>
        </row>
        <row r="4">
          <cell r="AZ4">
            <v>1.2</v>
          </cell>
          <cell r="BA4">
            <v>30.852387959726087</v>
          </cell>
        </row>
        <row r="5">
          <cell r="AZ5">
            <v>1.4</v>
          </cell>
          <cell r="BA5">
            <v>25.55444346511138</v>
          </cell>
        </row>
        <row r="6">
          <cell r="AZ6">
            <v>1.5999999999999999</v>
          </cell>
          <cell r="BA6">
            <v>21.475142967571077</v>
          </cell>
        </row>
        <row r="7">
          <cell r="AZ7">
            <v>1.7999999999999998</v>
          </cell>
          <cell r="BA7">
            <v>18.215753358467577</v>
          </cell>
        </row>
        <row r="8">
          <cell r="AZ8">
            <v>1.9999999999999998</v>
          </cell>
          <cell r="BA8">
            <v>15.538292765522266</v>
          </cell>
        </row>
        <row r="9">
          <cell r="AZ9">
            <v>2.1999999999999997</v>
          </cell>
          <cell r="BA9">
            <v>13.292999895501211</v>
          </cell>
        </row>
        <row r="10">
          <cell r="AZ10">
            <v>2.4</v>
          </cell>
          <cell r="BA10">
            <v>11.382229418936014</v>
          </cell>
        </row>
        <row r="11">
          <cell r="AZ11">
            <v>2.6</v>
          </cell>
          <cell r="BA11">
            <v>9.7412970408214132</v>
          </cell>
        </row>
        <row r="12">
          <cell r="AZ12">
            <v>2.8000000000000003</v>
          </cell>
          <cell r="BA12">
            <v>8.3279536672708954</v>
          </cell>
        </row>
        <row r="13">
          <cell r="AZ13">
            <v>3.0000000000000004</v>
          </cell>
          <cell r="BA13">
            <v>7.1166241042336171</v>
          </cell>
        </row>
        <row r="14">
          <cell r="AZ14">
            <v>3.2000000000000006</v>
          </cell>
          <cell r="BA14">
            <v>6.0953933973465215</v>
          </cell>
        </row>
        <row r="15">
          <cell r="AZ15">
            <v>3.4000000000000008</v>
          </cell>
          <cell r="BA15">
            <v>5.2642522558740659</v>
          </cell>
        </row>
        <row r="16">
          <cell r="AZ16">
            <v>3.600000000000001</v>
          </cell>
          <cell r="BA16">
            <v>4.6326232478079152</v>
          </cell>
        </row>
        <row r="17">
          <cell r="AZ17">
            <v>3.8000000000000012</v>
          </cell>
          <cell r="BA17">
            <v>4.2132035063618076</v>
          </cell>
        </row>
        <row r="18">
          <cell r="AZ18">
            <v>4.0000000000000009</v>
          </cell>
          <cell r="BA18">
            <v>4.0103758203036648</v>
          </cell>
        </row>
        <row r="19">
          <cell r="AZ19">
            <v>4.2000000000000011</v>
          </cell>
          <cell r="BA19">
            <v>4.0084379730877506</v>
          </cell>
        </row>
        <row r="20">
          <cell r="AZ20">
            <v>4.4000000000000012</v>
          </cell>
          <cell r="BA20">
            <v>4.1707958107973395</v>
          </cell>
        </row>
        <row r="21">
          <cell r="AZ21">
            <v>4.6000000000000014</v>
          </cell>
          <cell r="BA21">
            <v>4.4518432769491927</v>
          </cell>
        </row>
        <row r="22">
          <cell r="AZ22">
            <v>4.8000000000000016</v>
          </cell>
          <cell r="BA22">
            <v>4.8100058605492828</v>
          </cell>
        </row>
        <row r="23">
          <cell r="AZ23">
            <v>5.0000000000000018</v>
          </cell>
          <cell r="BA23">
            <v>5.2136294744895872</v>
          </cell>
        </row>
        <row r="24">
          <cell r="AZ24">
            <v>5.200000000000002</v>
          </cell>
          <cell r="BA24">
            <v>5.6408688654255696</v>
          </cell>
        </row>
        <row r="25">
          <cell r="AZ25">
            <v>5.4000000000000021</v>
          </cell>
          <cell r="BA25">
            <v>6.077375620581603</v>
          </cell>
        </row>
        <row r="26">
          <cell r="AZ26">
            <v>5.6000000000000023</v>
          </cell>
          <cell r="BA26">
            <v>6.5139492695233958</v>
          </cell>
        </row>
        <row r="27">
          <cell r="AZ27">
            <v>5.8000000000000025</v>
          </cell>
          <cell r="BA27">
            <v>6.9447730769490406</v>
          </cell>
        </row>
        <row r="28">
          <cell r="AZ28">
            <v>6.0000000000000027</v>
          </cell>
          <cell r="BA28">
            <v>7.3662238666516187</v>
          </cell>
        </row>
        <row r="29">
          <cell r="AZ29">
            <v>6.2000000000000028</v>
          </cell>
          <cell r="BA29">
            <v>7.7761006769556733</v>
          </cell>
        </row>
        <row r="30">
          <cell r="AZ30">
            <v>6.400000000000003</v>
          </cell>
          <cell r="BA30">
            <v>8.1731301633925248</v>
          </cell>
        </row>
        <row r="31">
          <cell r="AZ31">
            <v>6.6000000000000032</v>
          </cell>
          <cell r="BA31">
            <v>8.5566484629014408</v>
          </cell>
        </row>
        <row r="32">
          <cell r="AZ32">
            <v>6.8000000000000034</v>
          </cell>
          <cell r="BA32">
            <v>8.9263946121010971</v>
          </cell>
        </row>
        <row r="33">
          <cell r="AZ33">
            <v>7.0000000000000036</v>
          </cell>
          <cell r="BA33">
            <v>9.2823747765623636</v>
          </cell>
        </row>
        <row r="34">
          <cell r="AZ34">
            <v>7.2000000000000037</v>
          </cell>
          <cell r="BA34">
            <v>9.6247718867874053</v>
          </cell>
        </row>
        <row r="35">
          <cell r="AZ35">
            <v>7.4000000000000039</v>
          </cell>
          <cell r="BA35">
            <v>9.9538847668300097</v>
          </cell>
        </row>
        <row r="36">
          <cell r="AZ36">
            <v>7.6000000000000041</v>
          </cell>
          <cell r="BA36">
            <v>10.27008668456422</v>
          </cell>
        </row>
        <row r="37">
          <cell r="AZ37">
            <v>7.8000000000000043</v>
          </cell>
          <cell r="BA37">
            <v>10.573796868612433</v>
          </cell>
        </row>
        <row r="38">
          <cell r="AZ38">
            <v>8.0000000000000036</v>
          </cell>
          <cell r="BA38">
            <v>10.865460797400919</v>
          </cell>
        </row>
        <row r="39">
          <cell r="AZ39">
            <v>8.2000000000000028</v>
          </cell>
          <cell r="BA39">
            <v>11.145536496589452</v>
          </cell>
        </row>
        <row r="40">
          <cell r="AZ40">
            <v>8.4000000000000021</v>
          </cell>
          <cell r="BA40">
            <v>11.414484998999848</v>
          </cell>
        </row>
        <row r="41">
          <cell r="AZ41">
            <v>8.6000000000000014</v>
          </cell>
          <cell r="BA41">
            <v>11.672763718088335</v>
          </cell>
        </row>
        <row r="42">
          <cell r="AZ42">
            <v>8.8000000000000007</v>
          </cell>
          <cell r="BA42">
            <v>11.920821879433058</v>
          </cell>
        </row>
        <row r="44">
          <cell r="AZ44">
            <v>9</v>
          </cell>
          <cell r="BA44">
            <v>12.159097417396769</v>
          </cell>
        </row>
        <row r="45">
          <cell r="AZ45">
            <v>9.1999999999999993</v>
          </cell>
          <cell r="BA45">
            <v>12.388014921689972</v>
          </cell>
        </row>
        <row r="46">
          <cell r="AZ46">
            <v>9.3999999999999986</v>
          </cell>
          <cell r="BA46">
            <v>12.607984340013791</v>
          </cell>
        </row>
        <row r="47">
          <cell r="AZ47">
            <v>9.5999999999999979</v>
          </cell>
          <cell r="BA47">
            <v>12.81940022695508</v>
          </cell>
        </row>
        <row r="48">
          <cell r="AZ48">
            <v>9.7999999999999972</v>
          </cell>
          <cell r="BA48">
            <v>13.022641388009568</v>
          </cell>
        </row>
        <row r="49">
          <cell r="AZ49">
            <v>9.9999999999999964</v>
          </cell>
          <cell r="BA49">
            <v>13.218070809040951</v>
          </cell>
        </row>
        <row r="50">
          <cell r="AZ50">
            <v>10.199999999999996</v>
          </cell>
          <cell r="BA50">
            <v>13.406035791007273</v>
          </cell>
        </row>
        <row r="51">
          <cell r="AZ51">
            <v>10.399999999999995</v>
          </cell>
          <cell r="BA51">
            <v>13.586868231001336</v>
          </cell>
        </row>
        <row r="52">
          <cell r="AZ52">
            <v>10.599999999999994</v>
          </cell>
          <cell r="BA52">
            <v>13.760885006029628</v>
          </cell>
        </row>
        <row r="53">
          <cell r="AZ53">
            <v>10.799999999999994</v>
          </cell>
          <cell r="BA53">
            <v>13.928388427188212</v>
          </cell>
        </row>
        <row r="54">
          <cell r="AZ54">
            <v>10.999999999999993</v>
          </cell>
          <cell r="BA54">
            <v>14.089666740156369</v>
          </cell>
        </row>
        <row r="55">
          <cell r="AZ55">
            <v>11.199999999999992</v>
          </cell>
          <cell r="BA55">
            <v>14.244994654052745</v>
          </cell>
        </row>
        <row r="56">
          <cell r="AZ56">
            <v>11.399999999999991</v>
          </cell>
          <cell r="BA56">
            <v>14.394633885262937</v>
          </cell>
        </row>
        <row r="57">
          <cell r="AZ57">
            <v>11.599999999999991</v>
          </cell>
          <cell r="BA57">
            <v>14.538833706271392</v>
          </cell>
        </row>
        <row r="58">
          <cell r="AZ58">
            <v>11.79999999999999</v>
          </cell>
          <cell r="BA58">
            <v>14.677831492108931</v>
          </cell>
        </row>
        <row r="59">
          <cell r="AZ59">
            <v>11.999999999999989</v>
          </cell>
          <cell r="BA59">
            <v>14.811853258982277</v>
          </cell>
        </row>
        <row r="60">
          <cell r="AZ60">
            <v>12.199999999999989</v>
          </cell>
          <cell r="BA60">
            <v>14.941114191138354</v>
          </cell>
        </row>
        <row r="61">
          <cell r="AZ61">
            <v>12.399999999999988</v>
          </cell>
          <cell r="BA61">
            <v>15.065819153147261</v>
          </cell>
        </row>
        <row r="62">
          <cell r="AZ62">
            <v>12.599999999999987</v>
          </cell>
          <cell r="BA62">
            <v>15.18616318565455</v>
          </cell>
        </row>
        <row r="63">
          <cell r="AZ63">
            <v>12.799999999999986</v>
          </cell>
          <cell r="BA63">
            <v>15.3023319833177</v>
          </cell>
        </row>
        <row r="64">
          <cell r="AZ64">
            <v>12.999999999999986</v>
          </cell>
          <cell r="BA64">
            <v>15.414502354146576</v>
          </cell>
        </row>
        <row r="65">
          <cell r="AZ65">
            <v>13.199999999999985</v>
          </cell>
          <cell r="BA65">
            <v>15.5228426598563</v>
          </cell>
        </row>
        <row r="67">
          <cell r="AZ67">
            <v>13.399999999999984</v>
          </cell>
          <cell r="BA67">
            <v>15.627513237137629</v>
          </cell>
        </row>
        <row r="68">
          <cell r="AZ68">
            <v>13.599999999999984</v>
          </cell>
          <cell r="BA68">
            <v>15.728666799970915</v>
          </cell>
        </row>
        <row r="69">
          <cell r="AZ69">
            <v>13.799999999999983</v>
          </cell>
          <cell r="BA69">
            <v>15.826448823280156</v>
          </cell>
        </row>
        <row r="70">
          <cell r="AZ70">
            <v>13.999999999999982</v>
          </cell>
          <cell r="BA70">
            <v>15.920997908345898</v>
          </cell>
        </row>
        <row r="71">
          <cell r="AZ71">
            <v>14.199999999999982</v>
          </cell>
          <cell r="BA71">
            <v>16.012446130489042</v>
          </cell>
        </row>
        <row r="72">
          <cell r="AZ72">
            <v>14.399999999999981</v>
          </cell>
          <cell r="BA72">
            <v>16.100919369598017</v>
          </cell>
        </row>
        <row r="73">
          <cell r="AZ73">
            <v>14.59999999999998</v>
          </cell>
          <cell r="BA73">
            <v>16.18653762411855</v>
          </cell>
        </row>
        <row r="74">
          <cell r="AZ74">
            <v>14.799999999999979</v>
          </cell>
          <cell r="BA74">
            <v>16.269415309148904</v>
          </cell>
        </row>
        <row r="75">
          <cell r="AZ75">
            <v>14.999999999999979</v>
          </cell>
          <cell r="BA75">
            <v>16.34966153930085</v>
          </cell>
        </row>
        <row r="76">
          <cell r="AZ76">
            <v>15.199999999999978</v>
          </cell>
          <cell r="BA76">
            <v>16.427380396987193</v>
          </cell>
        </row>
        <row r="77">
          <cell r="AZ77">
            <v>15.399999999999977</v>
          </cell>
          <cell r="BA77">
            <v>16.50267118679762</v>
          </cell>
        </row>
        <row r="78">
          <cell r="AZ78">
            <v>15.599999999999977</v>
          </cell>
          <cell r="BA78">
            <v>16.575628676611462</v>
          </cell>
        </row>
        <row r="79">
          <cell r="AZ79">
            <v>15.799999999999976</v>
          </cell>
          <cell r="BA79">
            <v>16.64634332608528</v>
          </cell>
        </row>
        <row r="80">
          <cell r="AZ80">
            <v>15.999999999999975</v>
          </cell>
          <cell r="BA80">
            <v>16.714901503135206</v>
          </cell>
        </row>
        <row r="81">
          <cell r="AZ81">
            <v>16.199999999999974</v>
          </cell>
          <cell r="BA81">
            <v>16.78138568901392</v>
          </cell>
        </row>
        <row r="82">
          <cell r="AZ82">
            <v>16.399999999999974</v>
          </cell>
          <cell r="BA82">
            <v>16.845874672563347</v>
          </cell>
        </row>
        <row r="83">
          <cell r="AZ83">
            <v>16.599999999999973</v>
          </cell>
          <cell r="BA83">
            <v>16.908443734199679</v>
          </cell>
        </row>
        <row r="84">
          <cell r="AZ84">
            <v>16.799999999999972</v>
          </cell>
          <cell r="BA84">
            <v>16.969164820166331</v>
          </cell>
        </row>
        <row r="85">
          <cell r="AZ85">
            <v>16.999999999999972</v>
          </cell>
          <cell r="BA85">
            <v>17.028106707567122</v>
          </cell>
        </row>
        <row r="86">
          <cell r="AZ86">
            <v>17.199999999999971</v>
          </cell>
          <cell r="BA86">
            <v>17.085335160668418</v>
          </cell>
        </row>
        <row r="87">
          <cell r="AZ87">
            <v>17.39999999999997</v>
          </cell>
          <cell r="BA87">
            <v>17.140913078936507</v>
          </cell>
        </row>
        <row r="88">
          <cell r="AZ88">
            <v>17.599999999999969</v>
          </cell>
          <cell r="BA88">
            <v>17.194900637255017</v>
          </cell>
        </row>
        <row r="89">
          <cell r="AZ89">
            <v>17.799999999999969</v>
          </cell>
          <cell r="BA89">
            <v>17.247355418744469</v>
          </cell>
        </row>
        <row r="90">
          <cell r="AZ90">
            <v>17.999999999999968</v>
          </cell>
          <cell r="BA90">
            <v>17.298332540583516</v>
          </cell>
        </row>
        <row r="91">
          <cell r="AZ91">
            <v>18.199999999999967</v>
          </cell>
          <cell r="BA91">
            <v>17.347884773214965</v>
          </cell>
        </row>
        <row r="92">
          <cell r="AZ92">
            <v>18.399999999999967</v>
          </cell>
          <cell r="BA92">
            <v>17.396062653294806</v>
          </cell>
        </row>
        <row r="93">
          <cell r="AZ93">
            <v>18.599999999999966</v>
          </cell>
          <cell r="BA93">
            <v>17.442914590728126</v>
          </cell>
        </row>
        <row r="94">
          <cell r="AZ94">
            <v>18.799999999999965</v>
          </cell>
          <cell r="BA94">
            <v>17.48848697011346</v>
          </cell>
        </row>
        <row r="95">
          <cell r="AZ95">
            <v>18.999999999999964</v>
          </cell>
          <cell r="BA95">
            <v>17.53282424690347</v>
          </cell>
        </row>
        <row r="96">
          <cell r="AZ96">
            <v>19.199999999999964</v>
          </cell>
          <cell r="BA96">
            <v>17.575969038570566</v>
          </cell>
        </row>
        <row r="97">
          <cell r="AZ97">
            <v>19.399999999999963</v>
          </cell>
          <cell r="BA97">
            <v>17.617962211050632</v>
          </cell>
        </row>
        <row r="98">
          <cell r="AZ98">
            <v>19.599999999999962</v>
          </cell>
          <cell r="BA98">
            <v>17.658842960725</v>
          </cell>
        </row>
        <row r="99">
          <cell r="AZ99">
            <v>19.799999999999962</v>
          </cell>
          <cell r="BA99">
            <v>17.69864889218336</v>
          </cell>
        </row>
        <row r="100">
          <cell r="AZ100">
            <v>19.999999999999961</v>
          </cell>
          <cell r="BA100">
            <v>17.737416091999982</v>
          </cell>
        </row>
        <row r="101">
          <cell r="AZ101">
            <v>20.19999999999996</v>
          </cell>
          <cell r="BA101">
            <v>17.775179198739067</v>
          </cell>
        </row>
        <row r="102">
          <cell r="AZ102">
            <v>20.399999999999959</v>
          </cell>
          <cell r="BA102">
            <v>17.81197146939688</v>
          </cell>
        </row>
        <row r="103">
          <cell r="AZ103">
            <v>20.599999999999959</v>
          </cell>
          <cell r="BA103">
            <v>17.847824842473784</v>
          </cell>
        </row>
        <row r="104">
          <cell r="AZ104">
            <v>20.799999999999958</v>
          </cell>
          <cell r="BA104">
            <v>17.88276999785943</v>
          </cell>
        </row>
        <row r="105">
          <cell r="AZ105">
            <v>20.999999999999957</v>
          </cell>
          <cell r="BA105">
            <v>17.916836413704605</v>
          </cell>
        </row>
        <row r="106">
          <cell r="AZ106">
            <v>21.199999999999957</v>
          </cell>
          <cell r="BA106">
            <v>17.950052420441359</v>
          </cell>
        </row>
        <row r="107">
          <cell r="AZ107">
            <v>21.399999999999956</v>
          </cell>
          <cell r="BA107">
            <v>17.982445252107965</v>
          </cell>
        </row>
        <row r="108">
          <cell r="AZ108">
            <v>21.599999999999955</v>
          </cell>
          <cell r="BA108">
            <v>18.014041095121392</v>
          </cell>
        </row>
        <row r="109">
          <cell r="AZ109">
            <v>21.799999999999955</v>
          </cell>
          <cell r="BA109">
            <v>18.044865134635469</v>
          </cell>
        </row>
        <row r="110">
          <cell r="AZ110">
            <v>21.999999999999954</v>
          </cell>
          <cell r="BA110">
            <v>18.074941598615254</v>
          </cell>
        </row>
        <row r="111">
          <cell r="AZ111">
            <v>22.199999999999953</v>
          </cell>
          <cell r="BA111">
            <v>18.10429379974704</v>
          </cell>
        </row>
        <row r="112">
          <cell r="AZ112">
            <v>22.399999999999952</v>
          </cell>
          <cell r="BA112">
            <v>18.132944175301084</v>
          </cell>
        </row>
        <row r="113">
          <cell r="AZ113">
            <v>22.599999999999952</v>
          </cell>
          <cell r="BA113">
            <v>18.160914325055902</v>
          </cell>
        </row>
        <row r="114">
          <cell r="AZ114">
            <v>22.799999999999951</v>
          </cell>
          <cell r="BA114">
            <v>18.188225047385011</v>
          </cell>
        </row>
        <row r="115">
          <cell r="AZ115">
            <v>22.99999999999995</v>
          </cell>
          <cell r="BA115">
            <v>18.214896373605583</v>
          </cell>
        </row>
        <row r="116">
          <cell r="AZ116">
            <v>23.19999999999995</v>
          </cell>
          <cell r="BA116">
            <v>18.24094760067733</v>
          </cell>
        </row>
        <row r="117">
          <cell r="AZ117">
            <v>23.399999999999949</v>
          </cell>
          <cell r="BA117">
            <v>18.266397322340296</v>
          </cell>
        </row>
        <row r="118">
          <cell r="AZ118">
            <v>23.599999999999948</v>
          </cell>
          <cell r="BA118">
            <v>18.2912634587728</v>
          </cell>
        </row>
        <row r="119">
          <cell r="AZ119">
            <v>23.799999999999947</v>
          </cell>
          <cell r="BA119">
            <v>18.315563284844345</v>
          </cell>
        </row>
        <row r="120">
          <cell r="AZ120">
            <v>23.999999999999947</v>
          </cell>
          <cell r="BA120">
            <v>18.339313457039559</v>
          </cell>
        </row>
        <row r="121">
          <cell r="AZ121">
            <v>24.199999999999946</v>
          </cell>
          <cell r="BA121">
            <v>18.362530039118973</v>
          </cell>
        </row>
        <row r="122">
          <cell r="AZ122">
            <v>24.399999999999945</v>
          </cell>
          <cell r="BA122">
            <v>18.385228526582569</v>
          </cell>
        </row>
        <row r="123">
          <cell r="AZ123">
            <v>24.599999999999945</v>
          </cell>
          <cell r="BA123">
            <v>18.407423869997963</v>
          </cell>
        </row>
        <row r="124">
          <cell r="AZ124">
            <v>24.799999999999944</v>
          </cell>
          <cell r="BA124">
            <v>18.429130497250476</v>
          </cell>
        </row>
        <row r="125">
          <cell r="AZ125">
            <v>24.999999999999943</v>
          </cell>
          <cell r="BA125">
            <v>18.450362334768631</v>
          </cell>
        </row>
        <row r="126">
          <cell r="AZ126">
            <v>25.199999999999942</v>
          </cell>
          <cell r="BA126">
            <v>18.471132827780529</v>
          </cell>
        </row>
        <row r="127">
          <cell r="AZ127">
            <v>25.399999999999942</v>
          </cell>
          <cell r="BA127">
            <v>18.491454959645385</v>
          </cell>
        </row>
        <row r="128">
          <cell r="AZ128">
            <v>25.599999999999941</v>
          </cell>
          <cell r="BA128">
            <v>18.511341270309405</v>
          </cell>
        </row>
        <row r="129">
          <cell r="AZ129">
            <v>25.79999999999994</v>
          </cell>
          <cell r="BA129">
            <v>18.530803873930484</v>
          </cell>
        </row>
        <row r="130">
          <cell r="AZ130">
            <v>25.99999999999994</v>
          </cell>
          <cell r="BA130">
            <v>18.549854475709509</v>
          </cell>
        </row>
        <row r="131">
          <cell r="AZ131">
            <v>26.199999999999939</v>
          </cell>
          <cell r="BA131">
            <v>18.568504387970968</v>
          </cell>
        </row>
        <row r="132">
          <cell r="AZ132">
            <v>26.399999999999938</v>
          </cell>
          <cell r="BA132">
            <v>18.586764545529853</v>
          </cell>
        </row>
        <row r="133">
          <cell r="AZ133">
            <v>26.599999999999937</v>
          </cell>
          <cell r="BA133">
            <v>18.604645520375296</v>
          </cell>
        </row>
        <row r="134">
          <cell r="AZ134">
            <v>26.799999999999937</v>
          </cell>
          <cell r="BA134">
            <v>18.622157535712226</v>
          </cell>
        </row>
        <row r="135">
          <cell r="AZ135">
            <v>26.999999999999936</v>
          </cell>
          <cell r="BA135">
            <v>18.639310479384321</v>
          </cell>
        </row>
        <row r="136">
          <cell r="AZ136">
            <v>27.199999999999935</v>
          </cell>
          <cell r="BA136">
            <v>18.65611391671337</v>
          </cell>
        </row>
        <row r="137">
          <cell r="AZ137">
            <v>27.399999999999935</v>
          </cell>
          <cell r="BA137">
            <v>18.67257710278172</v>
          </cell>
        </row>
        <row r="138">
          <cell r="AZ138">
            <v>27.599999999999934</v>
          </cell>
          <cell r="BA138">
            <v>18.688708994183997</v>
          </cell>
        </row>
        <row r="139">
          <cell r="AZ139">
            <v>27.799999999999933</v>
          </cell>
          <cell r="BA139">
            <v>18.704518260274341</v>
          </cell>
        </row>
        <row r="140">
          <cell r="AZ140">
            <v>27.999999999999932</v>
          </cell>
          <cell r="BA140">
            <v>18.720013293932674</v>
          </cell>
        </row>
        <row r="141">
          <cell r="AZ141">
            <v>28.199999999999932</v>
          </cell>
          <cell r="BA141">
            <v>18.735202221872669</v>
          </cell>
        </row>
        <row r="142">
          <cell r="AZ142">
            <v>28.399999999999931</v>
          </cell>
          <cell r="BA142">
            <v>18.750092914514418</v>
          </cell>
        </row>
        <row r="143">
          <cell r="AZ143">
            <v>28.59999999999993</v>
          </cell>
          <cell r="BA143">
            <v>18.764692995439916</v>
          </cell>
        </row>
        <row r="144">
          <cell r="AZ144">
            <v>28.79999999999993</v>
          </cell>
          <cell r="BA144">
            <v>18.779009850452727</v>
          </cell>
        </row>
        <row r="145">
          <cell r="AZ145">
            <v>28.999999999999929</v>
          </cell>
          <cell r="BA145">
            <v>18.79305063626019</v>
          </cell>
        </row>
        <row r="146">
          <cell r="AZ146">
            <v>29.199999999999928</v>
          </cell>
          <cell r="BA146">
            <v>18.806822288794073</v>
          </cell>
        </row>
        <row r="147">
          <cell r="AZ147">
            <v>29.399999999999928</v>
          </cell>
          <cell r="BA147">
            <v>18.82033153118881</v>
          </cell>
        </row>
        <row r="148">
          <cell r="AZ148">
            <v>29.599999999999927</v>
          </cell>
          <cell r="BA148">
            <v>18.833584881430788</v>
          </cell>
        </row>
        <row r="149">
          <cell r="AZ149">
            <v>29.799999999999926</v>
          </cell>
          <cell r="BA149">
            <v>18.846588659694554</v>
          </cell>
        </row>
        <row r="150">
          <cell r="AZ150">
            <v>29.999999999999925</v>
          </cell>
          <cell r="BA150">
            <v>18.859348995381545</v>
          </cell>
        </row>
        <row r="151">
          <cell r="AZ151">
            <v>30.199999999999925</v>
          </cell>
          <cell r="BA151">
            <v>18.871871833872131</v>
          </cell>
        </row>
        <row r="152">
          <cell r="AZ152">
            <v>30.399999999999924</v>
          </cell>
          <cell r="BA152">
            <v>18.884162943006356</v>
          </cell>
        </row>
        <row r="153">
          <cell r="AZ153">
            <v>30.599999999999923</v>
          </cell>
          <cell r="BA153">
            <v>18.896227919304458</v>
          </cell>
        </row>
        <row r="154">
          <cell r="AZ154">
            <v>30.799999999999923</v>
          </cell>
          <cell r="BA154">
            <v>18.908072193938494</v>
          </cell>
        </row>
        <row r="155">
          <cell r="AZ155">
            <v>30.999999999999922</v>
          </cell>
          <cell r="BA155">
            <v>18.919701038467476</v>
          </cell>
        </row>
        <row r="156">
          <cell r="AZ156">
            <v>31.199999999999921</v>
          </cell>
          <cell r="BA156">
            <v>18.931119570344741</v>
          </cell>
        </row>
        <row r="157">
          <cell r="AZ157">
            <v>31.39999999999992</v>
          </cell>
          <cell r="BA157">
            <v>18.942332758209165</v>
          </cell>
        </row>
        <row r="158">
          <cell r="AZ158">
            <v>31.59999999999992</v>
          </cell>
          <cell r="BA158">
            <v>18.953345426968951</v>
          </cell>
        </row>
        <row r="159">
          <cell r="AZ159">
            <v>31.799999999999919</v>
          </cell>
          <cell r="BA159">
            <v>18.964162262686624</v>
          </cell>
        </row>
        <row r="160">
          <cell r="AZ160">
            <v>31.999999999999918</v>
          </cell>
          <cell r="BA160">
            <v>18.974787817275647</v>
          </cell>
        </row>
        <row r="161">
          <cell r="AZ161">
            <v>32.199999999999918</v>
          </cell>
          <cell r="BA161">
            <v>18.98522651301456</v>
          </cell>
        </row>
        <row r="162">
          <cell r="AZ162">
            <v>32.39999999999992</v>
          </cell>
          <cell r="BA162">
            <v>18.995482646888092</v>
          </cell>
        </row>
        <row r="163">
          <cell r="AZ163">
            <v>32.599999999999923</v>
          </cell>
          <cell r="BA163">
            <v>19.005560394761993</v>
          </cell>
        </row>
        <row r="164">
          <cell r="AZ164">
            <v>32.799999999999926</v>
          </cell>
          <cell r="BA164">
            <v>19.015463815398814</v>
          </cell>
        </row>
        <row r="165">
          <cell r="AZ165">
            <v>32.999999999999929</v>
          </cell>
          <cell r="BA165">
            <v>19.025196854322154</v>
          </cell>
        </row>
        <row r="166">
          <cell r="AZ166">
            <v>33.199999999999932</v>
          </cell>
          <cell r="BA166">
            <v>19.034763347534248</v>
          </cell>
        </row>
        <row r="167">
          <cell r="AZ167">
            <v>33.399999999999935</v>
          </cell>
          <cell r="BA167">
            <v>19.04416702509463</v>
          </cell>
        </row>
        <row r="168">
          <cell r="AZ168">
            <v>33.599999999999937</v>
          </cell>
          <cell r="BA168">
            <v>19.05341151456448</v>
          </cell>
        </row>
        <row r="169">
          <cell r="AZ169">
            <v>33.79999999999994</v>
          </cell>
          <cell r="BA169">
            <v>19.06250034432329</v>
          </cell>
        </row>
        <row r="170">
          <cell r="AZ170">
            <v>33.999999999999943</v>
          </cell>
          <cell r="BA170">
            <v>19.071436946762951</v>
          </cell>
        </row>
        <row r="171">
          <cell r="AZ171">
            <v>34.199999999999946</v>
          </cell>
          <cell r="BA171">
            <v>19.080224661363527</v>
          </cell>
        </row>
        <row r="172">
          <cell r="AZ172">
            <v>34.399999999999949</v>
          </cell>
          <cell r="BA172">
            <v>19.088866737655771</v>
          </cell>
        </row>
        <row r="173">
          <cell r="AZ173">
            <v>34.599999999999952</v>
          </cell>
          <cell r="BA173">
            <v>19.097366338077617</v>
          </cell>
        </row>
        <row r="174">
          <cell r="AZ174">
            <v>34.799999999999955</v>
          </cell>
          <cell r="BA174">
            <v>19.105726540724067</v>
          </cell>
        </row>
        <row r="175">
          <cell r="AZ175">
            <v>34.999999999999957</v>
          </cell>
          <cell r="BA175">
            <v>19.113950341999423</v>
          </cell>
        </row>
        <row r="176">
          <cell r="AZ176">
            <v>35.19999999999996</v>
          </cell>
          <cell r="BA176">
            <v>19.122040659173447</v>
          </cell>
        </row>
        <row r="177">
          <cell r="AZ177">
            <v>35.399999999999963</v>
          </cell>
          <cell r="BA177">
            <v>19.130000332845562</v>
          </cell>
        </row>
        <row r="178">
          <cell r="AZ178">
            <v>35.599999999999966</v>
          </cell>
          <cell r="BA178">
            <v>19.137832129321772</v>
          </cell>
        </row>
        <row r="179">
          <cell r="AZ179">
            <v>35.799999999999969</v>
          </cell>
          <cell r="BA179">
            <v>19.145538742906837</v>
          </cell>
        </row>
        <row r="180">
          <cell r="AZ180">
            <v>35.999999999999972</v>
          </cell>
          <cell r="BA180">
            <v>19.153122798114737</v>
          </cell>
        </row>
        <row r="181">
          <cell r="AZ181">
            <v>36.199999999999974</v>
          </cell>
          <cell r="BA181">
            <v>19.16058685180235</v>
          </cell>
        </row>
        <row r="182">
          <cell r="AZ182">
            <v>36.399999999999977</v>
          </cell>
          <cell r="BA182">
            <v>19.167933395227763</v>
          </cell>
        </row>
        <row r="183">
          <cell r="AZ183">
            <v>36.59999999999998</v>
          </cell>
          <cell r="BA183">
            <v>19.175164856036776</v>
          </cell>
        </row>
        <row r="184">
          <cell r="AZ184">
            <v>36.799999999999983</v>
          </cell>
          <cell r="BA184">
            <v>19.182283600180366</v>
          </cell>
        </row>
        <row r="185">
          <cell r="AZ185">
            <v>36.999999999999986</v>
          </cell>
          <cell r="BA185">
            <v>19.189291933766381</v>
          </cell>
        </row>
        <row r="186">
          <cell r="AZ186">
            <v>37.199999999999989</v>
          </cell>
          <cell r="BA186">
            <v>19.196192104846105</v>
          </cell>
        </row>
        <row r="187">
          <cell r="AZ187">
            <v>37.399999999999991</v>
          </cell>
          <cell r="BA187">
            <v>19.202986305141696</v>
          </cell>
        </row>
        <row r="188">
          <cell r="AZ188">
            <v>37.599999999999994</v>
          </cell>
          <cell r="BA188">
            <v>19.209676671712181</v>
          </cell>
        </row>
        <row r="189">
          <cell r="AZ189">
            <v>37.799999999999997</v>
          </cell>
          <cell r="BA189">
            <v>19.216265288565165</v>
          </cell>
        </row>
        <row r="190">
          <cell r="AZ190">
            <v>38</v>
          </cell>
          <cell r="BA190">
            <v>19.222754188212122</v>
          </cell>
        </row>
        <row r="191">
          <cell r="AZ191">
            <v>38.200000000000003</v>
          </cell>
          <cell r="BA191">
            <v>19.229145353172832</v>
          </cell>
        </row>
        <row r="192">
          <cell r="AZ192">
            <v>38.400000000000006</v>
          </cell>
          <cell r="BA192">
            <v>19.235440717428091</v>
          </cell>
        </row>
        <row r="193">
          <cell r="AZ193">
            <v>38.600000000000009</v>
          </cell>
          <cell r="BA193">
            <v>19.241642167824683</v>
          </cell>
        </row>
        <row r="194">
          <cell r="AZ194">
            <v>38.800000000000011</v>
          </cell>
          <cell r="BA194">
            <v>19.247751545433445</v>
          </cell>
        </row>
        <row r="195">
          <cell r="AZ195">
            <v>39.000000000000014</v>
          </cell>
          <cell r="BA195">
            <v>19.253770646862328</v>
          </cell>
        </row>
        <row r="196">
          <cell r="AZ196">
            <v>39.200000000000017</v>
          </cell>
          <cell r="BA196">
            <v>19.259701225525987</v>
          </cell>
        </row>
        <row r="197">
          <cell r="AZ197">
            <v>39.40000000000002</v>
          </cell>
          <cell r="BA197">
            <v>19.265544992874197</v>
          </cell>
        </row>
        <row r="198">
          <cell r="AZ198">
            <v>39.600000000000023</v>
          </cell>
          <cell r="BA198">
            <v>19.271303619579491</v>
          </cell>
        </row>
        <row r="199">
          <cell r="AZ199">
            <v>39.800000000000026</v>
          </cell>
          <cell r="BA199">
            <v>19.276978736686775</v>
          </cell>
        </row>
        <row r="200">
          <cell r="AZ200">
            <v>40.000000000000028</v>
          </cell>
          <cell r="BA200">
            <v>19.282571936725219</v>
          </cell>
        </row>
        <row r="201">
          <cell r="AZ201">
            <v>40.200000000000031</v>
          </cell>
          <cell r="BA201">
            <v>19.288084774784302</v>
          </cell>
        </row>
        <row r="202">
          <cell r="AZ202">
            <v>40.400000000000034</v>
          </cell>
          <cell r="BA202">
            <v>19.293518769555529</v>
          </cell>
        </row>
        <row r="203">
          <cell r="AZ203">
            <v>40.600000000000037</v>
          </cell>
          <cell r="BA203">
            <v>19.298875404340787</v>
          </cell>
        </row>
        <row r="204">
          <cell r="AZ204">
            <v>40.80000000000004</v>
          </cell>
          <cell r="BA204">
            <v>19.3041561280283</v>
          </cell>
        </row>
        <row r="205">
          <cell r="AZ205">
            <v>41.000000000000043</v>
          </cell>
          <cell r="BA205">
            <v>19.309362356037806</v>
          </cell>
        </row>
        <row r="206">
          <cell r="AZ206">
            <v>41.200000000000045</v>
          </cell>
          <cell r="BA206">
            <v>19.314495471235709</v>
          </cell>
        </row>
        <row r="207">
          <cell r="AZ207">
            <v>41.400000000000048</v>
          </cell>
          <cell r="BA207">
            <v>19.31955682482203</v>
          </cell>
        </row>
        <row r="208">
          <cell r="AZ208">
            <v>41.600000000000051</v>
          </cell>
          <cell r="BA208">
            <v>19.324547737188194</v>
          </cell>
        </row>
        <row r="209">
          <cell r="AZ209">
            <v>41.800000000000054</v>
          </cell>
          <cell r="BA209">
            <v>19.329469498750122</v>
          </cell>
        </row>
        <row r="210">
          <cell r="AZ210">
            <v>42.000000000000057</v>
          </cell>
          <cell r="BA210">
            <v>19.33432337075309</v>
          </cell>
        </row>
        <row r="211">
          <cell r="AZ211">
            <v>42.20000000000006</v>
          </cell>
          <cell r="BA211">
            <v>19.339110586053334</v>
          </cell>
        </row>
        <row r="212">
          <cell r="AZ212">
            <v>42.400000000000063</v>
          </cell>
          <cell r="BA212">
            <v>19.343832349875182</v>
          </cell>
        </row>
        <row r="213">
          <cell r="AZ213">
            <v>42.600000000000065</v>
          </cell>
          <cell r="BA213">
            <v>19.348489840544591</v>
          </cell>
        </row>
        <row r="214">
          <cell r="AZ214">
            <v>42.800000000000068</v>
          </cell>
          <cell r="BA214">
            <v>19.353084210200453</v>
          </cell>
        </row>
        <row r="215">
          <cell r="AZ215">
            <v>43.000000000000071</v>
          </cell>
          <cell r="BA215">
            <v>19.357616585484209</v>
          </cell>
        </row>
        <row r="216">
          <cell r="AZ216">
            <v>43.200000000000074</v>
          </cell>
          <cell r="BA216">
            <v>19.362088068208621</v>
          </cell>
        </row>
        <row r="217">
          <cell r="AZ217">
            <v>43.400000000000077</v>
          </cell>
          <cell r="BA217">
            <v>19.366499736006478</v>
          </cell>
        </row>
        <row r="218">
          <cell r="AZ218">
            <v>43.60000000000008</v>
          </cell>
          <cell r="BA218">
            <v>19.370852642959232</v>
          </cell>
        </row>
        <row r="219">
          <cell r="AZ219">
            <v>43.800000000000082</v>
          </cell>
          <cell r="BA219">
            <v>19.375147820207278</v>
          </cell>
        </row>
        <row r="220">
          <cell r="AZ220">
            <v>44.000000000000085</v>
          </cell>
          <cell r="BA220">
            <v>19.379386276541972</v>
          </cell>
        </row>
        <row r="221">
          <cell r="AZ221">
            <v>44.200000000000088</v>
          </cell>
          <cell r="BA221">
            <v>19.383568998979886</v>
          </cell>
        </row>
        <row r="222">
          <cell r="AZ222">
            <v>44.400000000000091</v>
          </cell>
          <cell r="BA222">
            <v>19.387696953320372</v>
          </cell>
        </row>
        <row r="223">
          <cell r="AZ223">
            <v>44.600000000000094</v>
          </cell>
          <cell r="BA223">
            <v>19.391771084685868</v>
          </cell>
        </row>
        <row r="224">
          <cell r="AZ224">
            <v>44.800000000000097</v>
          </cell>
          <cell r="BA224">
            <v>19.395792318047384</v>
          </cell>
        </row>
        <row r="225">
          <cell r="AZ225">
            <v>45.000000000000099</v>
          </cell>
          <cell r="BA225">
            <v>19.399761558733918</v>
          </cell>
        </row>
        <row r="226">
          <cell r="AZ226">
            <v>45.200000000000102</v>
          </cell>
          <cell r="BA226">
            <v>19.403679692927273</v>
          </cell>
        </row>
        <row r="227">
          <cell r="AZ227">
            <v>45.400000000000105</v>
          </cell>
          <cell r="BA227">
            <v>19.407547588142446</v>
          </cell>
        </row>
        <row r="228">
          <cell r="AZ228">
            <v>45.600000000000108</v>
          </cell>
          <cell r="BA228">
            <v>19.411366093693879</v>
          </cell>
        </row>
        <row r="229">
          <cell r="AZ229">
            <v>45.800000000000111</v>
          </cell>
          <cell r="BA229">
            <v>19.415136041148951</v>
          </cell>
        </row>
        <row r="230">
          <cell r="AZ230">
            <v>46.000000000000114</v>
          </cell>
          <cell r="BA230">
            <v>19.418858244767605</v>
          </cell>
        </row>
        <row r="231">
          <cell r="AZ231">
            <v>46.200000000000117</v>
          </cell>
          <cell r="BA231">
            <v>19.422533501929919</v>
          </cell>
        </row>
        <row r="232">
          <cell r="AZ232">
            <v>46.400000000000119</v>
          </cell>
          <cell r="BA232">
            <v>19.426162593551354</v>
          </cell>
        </row>
        <row r="233">
          <cell r="AZ233">
            <v>46.600000000000122</v>
          </cell>
          <cell r="BA233">
            <v>19.42974628448642</v>
          </cell>
        </row>
        <row r="234">
          <cell r="AZ234">
            <v>46.800000000000125</v>
          </cell>
          <cell r="BA234">
            <v>19.433285323920536</v>
          </cell>
        </row>
        <row r="235">
          <cell r="AZ235">
            <v>47.000000000000128</v>
          </cell>
          <cell r="BA235">
            <v>19.436780445751253</v>
          </cell>
        </row>
        <row r="236">
          <cell r="AZ236">
            <v>47.200000000000131</v>
          </cell>
          <cell r="BA236">
            <v>19.440232368958359</v>
          </cell>
        </row>
        <row r="237">
          <cell r="AZ237">
            <v>47.400000000000134</v>
          </cell>
          <cell r="BA237">
            <v>19.443641797963878</v>
          </cell>
        </row>
        <row r="238">
          <cell r="AZ238">
            <v>47.600000000000136</v>
          </cell>
          <cell r="BA238">
            <v>19.447009422982401</v>
          </cell>
        </row>
        <row r="239">
          <cell r="AZ239">
            <v>47.800000000000139</v>
          </cell>
          <cell r="BA239">
            <v>19.450335920360821</v>
          </cell>
        </row>
        <row r="240">
          <cell r="AZ240">
            <v>48.000000000000142</v>
          </cell>
          <cell r="BA240">
            <v>19.45362195290976</v>
          </cell>
        </row>
        <row r="241">
          <cell r="AZ241">
            <v>48.200000000000145</v>
          </cell>
          <cell r="BA241">
            <v>19.456868170224343</v>
          </cell>
        </row>
        <row r="242">
          <cell r="AZ242">
            <v>48.400000000000148</v>
          </cell>
          <cell r="BA242">
            <v>19.46007520899861</v>
          </cell>
        </row>
        <row r="243">
          <cell r="AZ243">
            <v>48.600000000000151</v>
          </cell>
          <cell r="BA243">
            <v>19.463243693328184</v>
          </cell>
        </row>
        <row r="244">
          <cell r="AZ244">
            <v>48.800000000000153</v>
          </cell>
          <cell r="BA244">
            <v>19.466374235007553</v>
          </cell>
        </row>
        <row r="245">
          <cell r="AZ245">
            <v>49.000000000000156</v>
          </cell>
          <cell r="BA245">
            <v>19.46946743381757</v>
          </cell>
        </row>
        <row r="246">
          <cell r="AZ246">
            <v>49.200000000000159</v>
          </cell>
          <cell r="BA246">
            <v>19.472523877805877</v>
          </cell>
        </row>
        <row r="247">
          <cell r="AZ247">
            <v>49.400000000000162</v>
          </cell>
          <cell r="BA247">
            <v>19.475544143559432</v>
          </cell>
        </row>
        <row r="248">
          <cell r="AZ248">
            <v>49.600000000000165</v>
          </cell>
          <cell r="BA248">
            <v>19.478528796469966</v>
          </cell>
        </row>
        <row r="249">
          <cell r="AZ249">
            <v>49.800000000000168</v>
          </cell>
          <cell r="BA249">
            <v>19.481478390992336</v>
          </cell>
        </row>
        <row r="250">
          <cell r="AZ250">
            <v>50.000000000000171</v>
          </cell>
          <cell r="BA250">
            <v>19.484393470895597</v>
          </cell>
        </row>
      </sheetData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youtu.be/sV6w9_-4ZJw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youtu.be/sV6w9_-4ZJw" TargetMode="External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youtu.be/sV6w9_-4ZJw" TargetMode="External"/><Relationship Id="rId6" Type="http://schemas.openxmlformats.org/officeDocument/2006/relationships/ctrlProp" Target="../ctrlProps/ctrlProp5.xml"/><Relationship Id="rId5" Type="http://schemas.openxmlformats.org/officeDocument/2006/relationships/ctrlProp" Target="../ctrlProps/ctrlProp4.xml"/><Relationship Id="rId4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6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49FEB-4B7C-4C02-A3D0-790BE9FE882B}">
  <sheetPr codeName="Sheet2"/>
  <dimension ref="A1:BN271"/>
  <sheetViews>
    <sheetView zoomScale="85" zoomScaleNormal="85" workbookViewId="0">
      <selection activeCell="B18" sqref="B18"/>
    </sheetView>
  </sheetViews>
  <sheetFormatPr defaultColWidth="9.140625" defaultRowHeight="15" x14ac:dyDescent="0.25"/>
  <cols>
    <col min="1" max="1" width="2.42578125" style="87" customWidth="1"/>
    <col min="2" max="2" width="43.85546875" style="87" customWidth="1"/>
    <col min="3" max="3" width="1.5703125" style="87" customWidth="1"/>
    <col min="4" max="4" width="10.5703125" style="87" customWidth="1"/>
    <col min="5" max="5" width="12.42578125" style="87" customWidth="1"/>
    <col min="6" max="6" width="10.85546875" style="87" bestFit="1" customWidth="1"/>
    <col min="7" max="7" width="9.140625" style="87"/>
    <col min="8" max="8" width="10.28515625" style="87" customWidth="1"/>
    <col min="9" max="9" width="10.85546875" style="87" customWidth="1"/>
    <col min="10" max="10" width="9.140625" style="87" customWidth="1"/>
    <col min="11" max="11" width="16.140625" style="87" customWidth="1"/>
    <col min="12" max="12" width="27.7109375" style="87" customWidth="1"/>
    <col min="13" max="13" width="9.140625" style="87"/>
    <col min="14" max="14" width="24.5703125" style="87" customWidth="1"/>
    <col min="15" max="15" width="54.28515625" style="87" customWidth="1"/>
    <col min="16" max="16" width="55.28515625" style="87" customWidth="1"/>
    <col min="17" max="18" width="9.140625" style="87"/>
    <col min="19" max="19" width="22.85546875" style="87" customWidth="1"/>
    <col min="20" max="41" width="9.140625" style="87"/>
    <col min="42" max="42" width="24.7109375" style="87" customWidth="1"/>
    <col min="43" max="43" width="27.7109375" style="90" customWidth="1"/>
    <col min="44" max="44" width="38.7109375" style="90" customWidth="1"/>
    <col min="45" max="45" width="30.28515625" style="90" customWidth="1"/>
    <col min="46" max="46" width="3.7109375" style="87" customWidth="1"/>
    <col min="47" max="47" width="38.140625" style="87" customWidth="1"/>
    <col min="48" max="48" width="42.7109375" style="87" customWidth="1"/>
    <col min="49" max="49" width="44.140625" style="87" customWidth="1"/>
    <col min="50" max="50" width="39" style="87" customWidth="1"/>
    <col min="51" max="51" width="41.85546875" style="87" customWidth="1"/>
    <col min="52" max="16384" width="9.140625" style="87"/>
  </cols>
  <sheetData>
    <row r="1" spans="2:57" ht="28.5" customHeight="1" x14ac:dyDescent="0.25">
      <c r="B1" s="267" t="s">
        <v>348</v>
      </c>
      <c r="N1" s="281" t="s">
        <v>346</v>
      </c>
      <c r="O1" s="281"/>
      <c r="P1" s="281"/>
      <c r="AP1" s="87" t="s">
        <v>177</v>
      </c>
      <c r="AS1" s="90" t="s">
        <v>180</v>
      </c>
      <c r="AU1" s="90" t="s">
        <v>179</v>
      </c>
      <c r="AV1" s="87" t="s">
        <v>181</v>
      </c>
      <c r="AW1" s="90" t="s">
        <v>182</v>
      </c>
      <c r="AX1" s="87" t="s">
        <v>183</v>
      </c>
      <c r="AY1" s="90" t="s">
        <v>184</v>
      </c>
      <c r="BE1" s="87" t="s">
        <v>268</v>
      </c>
    </row>
    <row r="2" spans="2:57" x14ac:dyDescent="0.25">
      <c r="N2" s="281"/>
      <c r="O2" s="281"/>
      <c r="P2" s="281"/>
      <c r="AO2" s="90" t="s">
        <v>172</v>
      </c>
      <c r="AP2" s="90" t="s">
        <v>173</v>
      </c>
      <c r="AQ2" s="90" t="s">
        <v>174</v>
      </c>
      <c r="AR2" s="90" t="s">
        <v>175</v>
      </c>
      <c r="AS2" s="90" t="s">
        <v>176</v>
      </c>
      <c r="AU2" s="90" t="s">
        <v>178</v>
      </c>
      <c r="AV2" s="90" t="s">
        <v>0</v>
      </c>
      <c r="BE2" s="87" t="s">
        <v>269</v>
      </c>
    </row>
    <row r="3" spans="2:57" ht="36" x14ac:dyDescent="0.55000000000000004">
      <c r="B3" s="118" t="s">
        <v>45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N3" s="282" t="s">
        <v>347</v>
      </c>
      <c r="O3" s="283"/>
      <c r="P3" s="283"/>
      <c r="AO3" s="87">
        <v>1</v>
      </c>
      <c r="AP3" s="126" t="str">
        <f>COMPLEX(0.0001,-1*$D$22/AO3)</f>
        <v>0.0001-342.375298606877i</v>
      </c>
      <c r="AQ3" s="105" t="str">
        <f>COMPLEX(0.000000001,-1*$D$23/AO3)</f>
        <v>0.000000001</v>
      </c>
      <c r="AR3" s="105" t="str">
        <f>COMPLEX($D$24/$D$26,$D$24*AO3)</f>
        <v>0.154991081306871+15.4991081306871i</v>
      </c>
      <c r="AS3" s="93" t="str">
        <f>COMPLEX(9999999999,9999999)</f>
        <v>9999999999+9999999i</v>
      </c>
      <c r="AU3" s="87" t="str">
        <f t="shared" ref="AU3:AU67" si="0">IMSUM(AR3,AQ3)</f>
        <v>0.154991082306871+15.4991081306871i</v>
      </c>
      <c r="AV3" s="87" t="str">
        <f>IMPRODUCT(AU3,AS3)</f>
        <v>1394919757.10596+154992631202.04i</v>
      </c>
      <c r="AW3" s="87" t="str">
        <f>IMSUM(AS3,AU3)</f>
        <v>9999999999.15499+10000014.4991081i</v>
      </c>
      <c r="AX3" s="87" t="str">
        <f>IMDIV(AV3,AW3)</f>
        <v>0.1549911063262+15.4991081301826i</v>
      </c>
      <c r="AY3" s="87" t="str">
        <f>IMSUM(AX3,AP3)</f>
        <v>0.1550911063262-326.876190476694i</v>
      </c>
      <c r="AZ3" s="87">
        <f>AO3</f>
        <v>1</v>
      </c>
      <c r="BA3" s="87">
        <f>IMABS(AY3)</f>
        <v>326.87622726929408</v>
      </c>
      <c r="BE3" s="87" t="s">
        <v>270</v>
      </c>
    </row>
    <row r="4" spans="2:57" ht="20.25" customHeight="1" x14ac:dyDescent="0.4">
      <c r="B4" s="175" t="s">
        <v>46</v>
      </c>
      <c r="C4" s="120"/>
      <c r="D4" s="120"/>
      <c r="E4" s="120"/>
      <c r="F4" s="120"/>
      <c r="G4" s="285" t="s">
        <v>47</v>
      </c>
      <c r="H4" s="285"/>
      <c r="I4" s="285"/>
      <c r="J4" s="285"/>
      <c r="K4" s="285"/>
      <c r="L4" s="285"/>
      <c r="AO4" s="87">
        <f>AO3+0.2</f>
        <v>1.2</v>
      </c>
      <c r="AP4" s="126" t="str">
        <f t="shared" ref="AP4:AP68" si="1">COMPLEX(0.0001,-1*$D$22/AO4)</f>
        <v>0.0001-285.312748839065i</v>
      </c>
      <c r="AQ4" s="105" t="str">
        <f t="shared" ref="AQ4:AQ68" si="2">COMPLEX(0.000000001,-1*$D$23/AO4)</f>
        <v>0.000000001</v>
      </c>
      <c r="AR4" s="105" t="str">
        <f t="shared" ref="AR4:AR68" si="3">COMPLEX($D$24/$D$26,$D$24*AO4)</f>
        <v>0.154991081306871+18.5989297568245i</v>
      </c>
      <c r="AS4" s="93" t="str">
        <f t="shared" ref="AS4:AS68" si="4">COMPLEX(9999999999,9999999)</f>
        <v>9999999999+9999999i</v>
      </c>
      <c r="AU4" s="87" t="str">
        <f t="shared" si="0"/>
        <v>0.154991082306871+18.5989297568245i</v>
      </c>
      <c r="AV4" s="87" t="str">
        <f t="shared" ref="AV4:AV68" si="5">IMPRODUCT(AU4,AS4)</f>
        <v>1363921543.9444+185990847460.314i</v>
      </c>
      <c r="AW4" s="87" t="str">
        <f t="shared" ref="AW4:AW68" si="6">IMSUM(AS4,AU4)</f>
        <v>9999999999.15499+10000017.5989298i</v>
      </c>
      <c r="AX4" s="87" t="str">
        <f t="shared" ref="AX4:AX68" si="7">IMDIV(AV4,AW4)</f>
        <v>0.154991116895876+18.5989297562134i</v>
      </c>
      <c r="AY4" s="87" t="str">
        <f t="shared" ref="AY4:AY68" si="8">IMSUM(AX4,AP4)</f>
        <v>0.155091116895876-266.713819082852i</v>
      </c>
      <c r="AZ4" s="87">
        <f t="shared" ref="AZ4:AZ68" si="9">AO4</f>
        <v>1.2</v>
      </c>
      <c r="BA4" s="87">
        <f t="shared" ref="BA4:BA68" si="10">IMABS(AY4)</f>
        <v>266.71386417472723</v>
      </c>
    </row>
    <row r="5" spans="2:57" x14ac:dyDescent="0.25">
      <c r="AO5" s="87">
        <f t="shared" ref="AO5:AO68" si="11">AO4+0.2</f>
        <v>1.4</v>
      </c>
      <c r="AP5" s="126" t="str">
        <f t="shared" si="1"/>
        <v>0.0001-244.553784719198i</v>
      </c>
      <c r="AQ5" s="105" t="str">
        <f t="shared" si="2"/>
        <v>0.000000001</v>
      </c>
      <c r="AR5" s="105" t="str">
        <f t="shared" si="3"/>
        <v>0.154991081306871+21.6987513829619i</v>
      </c>
      <c r="AS5" s="93" t="str">
        <f t="shared" si="4"/>
        <v>9999999999+9999999i</v>
      </c>
      <c r="AU5" s="87" t="str">
        <f t="shared" si="0"/>
        <v>0.154991082306871+21.6987513829619i</v>
      </c>
      <c r="AV5" s="87" t="str">
        <f t="shared" si="5"/>
        <v>1332923330.78285+216989063718.588i</v>
      </c>
      <c r="AW5" s="87" t="str">
        <f t="shared" si="6"/>
        <v>9999999999.15499+10000020.6987514i</v>
      </c>
      <c r="AX5" s="87" t="str">
        <f t="shared" si="7"/>
        <v>0.15499112938733+21.6987513822422i</v>
      </c>
      <c r="AY5" s="87" t="str">
        <f t="shared" si="8"/>
        <v>0.15509112938733-222.855033336956i</v>
      </c>
      <c r="AZ5" s="87">
        <f t="shared" si="9"/>
        <v>1.4</v>
      </c>
      <c r="BA5" s="87">
        <f t="shared" si="10"/>
        <v>222.8550873031042</v>
      </c>
    </row>
    <row r="6" spans="2:57" ht="21" x14ac:dyDescent="0.35">
      <c r="B6" s="286" t="s">
        <v>124</v>
      </c>
      <c r="C6" s="286"/>
      <c r="D6" s="286"/>
      <c r="E6" s="286"/>
      <c r="F6" s="286"/>
      <c r="G6" s="286"/>
      <c r="H6" s="286"/>
      <c r="I6" s="286"/>
      <c r="J6" s="286"/>
      <c r="K6" s="286"/>
      <c r="L6" s="286"/>
      <c r="N6" s="136" t="s">
        <v>143</v>
      </c>
      <c r="O6" s="136"/>
      <c r="P6" s="136"/>
      <c r="Q6" s="136"/>
      <c r="AO6" s="87">
        <f t="shared" si="11"/>
        <v>1.5999999999999999</v>
      </c>
      <c r="AP6" s="126" t="str">
        <f t="shared" si="1"/>
        <v>0.0001-213.984561629298i</v>
      </c>
      <c r="AQ6" s="105" t="str">
        <f t="shared" si="2"/>
        <v>0.000000001</v>
      </c>
      <c r="AR6" s="105" t="str">
        <f t="shared" si="3"/>
        <v>0.154991081306871+24.7985730090993i</v>
      </c>
      <c r="AS6" s="93" t="str">
        <f t="shared" si="4"/>
        <v>9999999999+9999999i</v>
      </c>
      <c r="AU6" s="87" t="str">
        <f t="shared" si="0"/>
        <v>0.154991082306871+24.7985730090993i</v>
      </c>
      <c r="AV6" s="87" t="str">
        <f t="shared" si="5"/>
        <v>1301925117.6213+247987279976.863i</v>
      </c>
      <c r="AW6" s="87" t="str">
        <f t="shared" si="6"/>
        <v>9999999999.15499+10000023.798573i</v>
      </c>
      <c r="AX6" s="87" t="str">
        <f t="shared" si="7"/>
        <v>0.154991143800561+24.7985730082691i</v>
      </c>
      <c r="AY6" s="87" t="str">
        <f t="shared" si="8"/>
        <v>0.155091143800561-189.185988621029i</v>
      </c>
      <c r="AZ6" s="87">
        <f t="shared" si="9"/>
        <v>1.5999999999999999</v>
      </c>
      <c r="BA6" s="87">
        <f t="shared" si="10"/>
        <v>189.1860521914314</v>
      </c>
    </row>
    <row r="7" spans="2:57" x14ac:dyDescent="0.25">
      <c r="AO7" s="87">
        <f t="shared" si="11"/>
        <v>1.7999999999999998</v>
      </c>
      <c r="AP7" s="126" t="str">
        <f t="shared" si="1"/>
        <v>0.0001-190.208499226043i</v>
      </c>
      <c r="AQ7" s="105" t="str">
        <f t="shared" si="2"/>
        <v>0.000000001</v>
      </c>
      <c r="AR7" s="105" t="str">
        <f t="shared" si="3"/>
        <v>0.154991081306871+27.8983946352367i</v>
      </c>
      <c r="AS7" s="93" t="str">
        <f t="shared" si="4"/>
        <v>9999999999+9999999i</v>
      </c>
      <c r="AU7" s="87" t="str">
        <f t="shared" si="0"/>
        <v>0.154991082306871+27.8983946352367i</v>
      </c>
      <c r="AV7" s="87" t="str">
        <f t="shared" si="5"/>
        <v>1270926904.45975+278985496235.137i</v>
      </c>
      <c r="AW7" s="87" t="str">
        <f t="shared" si="6"/>
        <v>9999999999.15499+10000026.8983946i</v>
      </c>
      <c r="AX7" s="87" t="str">
        <f t="shared" si="7"/>
        <v>0.154991160135569+27.8983946342941i</v>
      </c>
      <c r="AY7" s="87" t="str">
        <f t="shared" si="8"/>
        <v>0.155091160135569-162.310104591749i</v>
      </c>
      <c r="AZ7" s="87">
        <f t="shared" si="9"/>
        <v>1.7999999999999998</v>
      </c>
      <c r="BA7" s="87">
        <f t="shared" si="10"/>
        <v>162.31017868837569</v>
      </c>
    </row>
    <row r="8" spans="2:57" ht="18" x14ac:dyDescent="0.35">
      <c r="B8" s="91" t="s">
        <v>103</v>
      </c>
      <c r="D8" s="98">
        <v>26.2</v>
      </c>
      <c r="E8" s="87" t="s">
        <v>1</v>
      </c>
      <c r="H8" s="172" t="s">
        <v>169</v>
      </c>
      <c r="I8" s="287" t="s">
        <v>273</v>
      </c>
      <c r="J8" s="288"/>
      <c r="K8" s="288"/>
      <c r="L8" s="289"/>
      <c r="N8" s="87" t="s">
        <v>144</v>
      </c>
      <c r="O8" s="98">
        <v>11.46</v>
      </c>
      <c r="P8" s="87" t="s">
        <v>166</v>
      </c>
      <c r="AO8" s="244">
        <f t="shared" si="11"/>
        <v>1.9999999999999998</v>
      </c>
      <c r="AP8" s="245" t="str">
        <f t="shared" si="1"/>
        <v>0.0001-171.187649303439i</v>
      </c>
      <c r="AQ8" s="246" t="str">
        <f t="shared" si="2"/>
        <v>0.000000001</v>
      </c>
      <c r="AR8" s="246" t="str">
        <f t="shared" si="3"/>
        <v>0.154991081306871+30.9982162613741i</v>
      </c>
      <c r="AS8" s="247" t="str">
        <f t="shared" si="4"/>
        <v>9999999999+9999999i</v>
      </c>
      <c r="AT8" s="244"/>
      <c r="AU8" s="244" t="str">
        <f t="shared" si="0"/>
        <v>0.154991082306871+30.9982162613741i</v>
      </c>
      <c r="AV8" s="244" t="str">
        <f t="shared" si="5"/>
        <v>1239928691.29819+309983712493.411i</v>
      </c>
      <c r="AW8" s="244" t="str">
        <f t="shared" si="6"/>
        <v>9999999999.15499+10000029.9982163i</v>
      </c>
      <c r="AX8" s="244" t="str">
        <f t="shared" si="7"/>
        <v>0.154991178392353+30.9982162603171i</v>
      </c>
      <c r="AY8" s="244" t="str">
        <f t="shared" si="8"/>
        <v>0.155091178392353-140.189433043122i</v>
      </c>
      <c r="AZ8" s="244">
        <f t="shared" si="9"/>
        <v>1.9999999999999998</v>
      </c>
      <c r="BA8" s="244">
        <f t="shared" si="10"/>
        <v>140.18951883156458</v>
      </c>
    </row>
    <row r="9" spans="2:57" ht="18" x14ac:dyDescent="0.35">
      <c r="B9" s="91" t="s">
        <v>104</v>
      </c>
      <c r="D9" s="148">
        <v>2100</v>
      </c>
      <c r="E9" s="87" t="s">
        <v>11</v>
      </c>
      <c r="F9" s="176"/>
      <c r="H9" s="172" t="s">
        <v>170</v>
      </c>
      <c r="I9" s="290" t="s">
        <v>274</v>
      </c>
      <c r="J9" s="291"/>
      <c r="K9" s="291"/>
      <c r="L9" s="292"/>
      <c r="N9" s="87" t="s">
        <v>145</v>
      </c>
      <c r="O9" s="107">
        <v>23</v>
      </c>
      <c r="P9" s="87" t="s">
        <v>9</v>
      </c>
      <c r="AO9" s="87">
        <f t="shared" si="11"/>
        <v>2.1999999999999997</v>
      </c>
      <c r="AP9" s="126" t="str">
        <f t="shared" si="1"/>
        <v>0.0001-155.625135730399i</v>
      </c>
      <c r="AQ9" s="105" t="str">
        <f t="shared" si="2"/>
        <v>0.000000001</v>
      </c>
      <c r="AR9" s="105" t="str">
        <f t="shared" si="3"/>
        <v>0.154991081306871+34.0980378875116i</v>
      </c>
      <c r="AS9" s="93" t="str">
        <f t="shared" si="4"/>
        <v>9999999999+9999999i</v>
      </c>
      <c r="AU9" s="87" t="str">
        <f t="shared" si="0"/>
        <v>0.154991082306871+34.0980378875116i</v>
      </c>
      <c r="AV9" s="87" t="str">
        <f t="shared" si="5"/>
        <v>1208930478.13664+340981928751.686i</v>
      </c>
      <c r="AW9" s="87" t="str">
        <f t="shared" si="6"/>
        <v>9999999999.15499+10000033.0980379i</v>
      </c>
      <c r="AX9" s="87" t="str">
        <f t="shared" si="7"/>
        <v>0.154991198570914+34.0980378863384i</v>
      </c>
      <c r="AY9" s="87" t="str">
        <f t="shared" si="8"/>
        <v>0.155091198570914-121.527097844061i</v>
      </c>
      <c r="AZ9" s="87">
        <f t="shared" si="9"/>
        <v>2.1999999999999997</v>
      </c>
      <c r="BA9" s="87">
        <f t="shared" si="10"/>
        <v>121.52719680664018</v>
      </c>
    </row>
    <row r="10" spans="2:57" ht="19.5" x14ac:dyDescent="0.35">
      <c r="B10" s="91" t="s">
        <v>105</v>
      </c>
      <c r="D10" s="107">
        <v>4.7</v>
      </c>
      <c r="E10" s="87" t="s">
        <v>84</v>
      </c>
      <c r="F10" s="87" t="s">
        <v>0</v>
      </c>
      <c r="N10" s="95" t="s">
        <v>146</v>
      </c>
      <c r="O10" s="89">
        <f>2*3.1415*D11*O9/1000</f>
        <v>8.6705400000000008</v>
      </c>
      <c r="P10" s="87" t="s">
        <v>3</v>
      </c>
      <c r="W10" s="293" t="s">
        <v>322</v>
      </c>
      <c r="X10" s="293"/>
      <c r="Y10" s="293"/>
      <c r="Z10" s="293"/>
      <c r="AA10" s="293"/>
      <c r="AB10" s="293"/>
      <c r="AC10" s="293"/>
      <c r="AD10" s="293"/>
      <c r="AO10" s="87">
        <f t="shared" si="11"/>
        <v>2.4</v>
      </c>
      <c r="AP10" s="126" t="str">
        <f t="shared" si="1"/>
        <v>0.0001-142.656374419532i</v>
      </c>
      <c r="AQ10" s="105" t="str">
        <f t="shared" si="2"/>
        <v>0.000000001</v>
      </c>
      <c r="AR10" s="105" t="str">
        <f t="shared" si="3"/>
        <v>0.154991081306871+37.197859513649i</v>
      </c>
      <c r="AS10" s="93" t="str">
        <f t="shared" si="4"/>
        <v>9999999999+9999999i</v>
      </c>
      <c r="AU10" s="87" t="str">
        <f t="shared" si="0"/>
        <v>0.154991082306871+37.197859513649i</v>
      </c>
      <c r="AV10" s="87" t="str">
        <f t="shared" si="5"/>
        <v>1177932264.97509+371980145009.96i</v>
      </c>
      <c r="AW10" s="87" t="str">
        <f t="shared" si="6"/>
        <v>9999999999.15499+10000036.1978595i</v>
      </c>
      <c r="AX10" s="87" t="str">
        <f t="shared" si="7"/>
        <v>0.154991220671253+37.1978595123576i</v>
      </c>
      <c r="AY10" s="87" t="str">
        <f t="shared" si="8"/>
        <v>0.155091220671253-105.458514907174i</v>
      </c>
      <c r="AZ10" s="87">
        <f t="shared" si="9"/>
        <v>2.4</v>
      </c>
      <c r="BA10" s="87">
        <f t="shared" si="10"/>
        <v>105.45862894857571</v>
      </c>
    </row>
    <row r="11" spans="2:57" ht="18.75" x14ac:dyDescent="0.35">
      <c r="B11" s="91" t="s">
        <v>106</v>
      </c>
      <c r="D11" s="98">
        <v>60</v>
      </c>
      <c r="E11" s="87" t="s">
        <v>8</v>
      </c>
      <c r="K11" s="51" t="s">
        <v>287</v>
      </c>
      <c r="L11" s="262">
        <f>ROUND((1/(2*3.1415*D11))*SQRT(1/((D31-1)*K32*D25*0.000000001)),2)</f>
        <v>6.65</v>
      </c>
      <c r="N11" s="95" t="s">
        <v>147</v>
      </c>
      <c r="O11" s="89">
        <f>1/(2*3.1415*D11*(O8/(1000*1000)))</f>
        <v>231.47125816757907</v>
      </c>
      <c r="P11" s="87" t="s">
        <v>3</v>
      </c>
      <c r="AO11" s="87">
        <f t="shared" si="11"/>
        <v>2.6</v>
      </c>
      <c r="AP11" s="126" t="str">
        <f t="shared" si="1"/>
        <v>0.0001-131.682807156491i</v>
      </c>
      <c r="AQ11" s="105" t="str">
        <f t="shared" si="2"/>
        <v>0.000000001</v>
      </c>
      <c r="AR11" s="105" t="str">
        <f t="shared" si="3"/>
        <v>0.154991081306871+40.2976811397864i</v>
      </c>
      <c r="AS11" s="93" t="str">
        <f t="shared" si="4"/>
        <v>9999999999+9999999i</v>
      </c>
      <c r="AU11" s="87" t="str">
        <f t="shared" si="0"/>
        <v>0.154991082306871+40.2976811397864i</v>
      </c>
      <c r="AV11" s="87" t="str">
        <f t="shared" si="5"/>
        <v>1146934051.81354+402978361268.234i</v>
      </c>
      <c r="AW11" s="87" t="str">
        <f t="shared" si="6"/>
        <v>9999999999.15499+10000039.2976811i</v>
      </c>
      <c r="AX11" s="87" t="str">
        <f t="shared" si="7"/>
        <v>0.154991244693368+40.2976811383748i</v>
      </c>
      <c r="AY11" s="87" t="str">
        <f t="shared" si="8"/>
        <v>0.155091244693368-91.3851260181162i</v>
      </c>
      <c r="AZ11" s="87">
        <f t="shared" si="9"/>
        <v>2.6</v>
      </c>
      <c r="BA11" s="87">
        <f t="shared" si="10"/>
        <v>91.38525762201013</v>
      </c>
    </row>
    <row r="12" spans="2:57" ht="18" x14ac:dyDescent="0.35">
      <c r="B12" s="91" t="s">
        <v>107</v>
      </c>
      <c r="D12" s="138">
        <f>D10*D11</f>
        <v>282</v>
      </c>
      <c r="E12" s="87" t="s">
        <v>83</v>
      </c>
      <c r="K12" s="87" t="s">
        <v>0</v>
      </c>
      <c r="N12" s="95" t="s">
        <v>167</v>
      </c>
      <c r="O12" s="135">
        <f>SQRT(O11/O10)</f>
        <v>5.1668453535773819</v>
      </c>
      <c r="X12" s="51" t="s">
        <v>323</v>
      </c>
      <c r="Y12" s="284"/>
      <c r="Z12" s="284"/>
      <c r="AA12" s="90" t="s">
        <v>3</v>
      </c>
      <c r="AB12" s="90"/>
      <c r="AC12" s="90"/>
      <c r="AO12" s="87">
        <f t="shared" si="11"/>
        <v>2.8000000000000003</v>
      </c>
      <c r="AP12" s="126" t="str">
        <f t="shared" si="1"/>
        <v>0.0001-122.276892359599i</v>
      </c>
      <c r="AQ12" s="105" t="str">
        <f t="shared" si="2"/>
        <v>0.000000001</v>
      </c>
      <c r="AR12" s="105" t="str">
        <f t="shared" si="3"/>
        <v>0.154991081306871+43.3975027659238i</v>
      </c>
      <c r="AS12" s="93" t="str">
        <f t="shared" si="4"/>
        <v>9999999999+9999999i</v>
      </c>
      <c r="AU12" s="87" t="str">
        <f t="shared" si="0"/>
        <v>0.154991082306871+43.3975027659238i</v>
      </c>
      <c r="AV12" s="87" t="str">
        <f t="shared" si="5"/>
        <v>1115935838.65198+433976577526.509i</v>
      </c>
      <c r="AW12" s="87" t="str">
        <f t="shared" si="6"/>
        <v>9999999999.15499+10000042.3975028i</v>
      </c>
      <c r="AX12" s="87" t="str">
        <f t="shared" si="7"/>
        <v>0.15499127063726+43.3975027643903i</v>
      </c>
      <c r="AY12" s="87" t="str">
        <f t="shared" si="8"/>
        <v>0.15509127063726-78.8793895952087i</v>
      </c>
      <c r="AZ12" s="87">
        <f t="shared" si="9"/>
        <v>2.8000000000000003</v>
      </c>
      <c r="BA12" s="87">
        <f t="shared" si="10"/>
        <v>78.879542063927744</v>
      </c>
    </row>
    <row r="13" spans="2:57" ht="18" x14ac:dyDescent="0.35">
      <c r="B13" s="91" t="s">
        <v>108</v>
      </c>
      <c r="D13" s="139">
        <f>D8*D8/(D9*0.001)</f>
        <v>326.87619047619046</v>
      </c>
      <c r="E13" s="87" t="s">
        <v>3</v>
      </c>
      <c r="N13" s="95"/>
      <c r="O13" s="135"/>
      <c r="P13" s="87" t="s">
        <v>0</v>
      </c>
      <c r="X13" s="51" t="s">
        <v>324</v>
      </c>
      <c r="Y13" s="284">
        <f>D24/D26</f>
        <v>0.15499108130687073</v>
      </c>
      <c r="Z13" s="284"/>
      <c r="AA13" s="273" t="s">
        <v>325</v>
      </c>
      <c r="AB13" s="295">
        <f>D24</f>
        <v>15.499108130687073</v>
      </c>
      <c r="AC13" s="284"/>
      <c r="AD13" s="87" t="s">
        <v>326</v>
      </c>
      <c r="AO13" s="244">
        <f t="shared" si="11"/>
        <v>3.0000000000000004</v>
      </c>
      <c r="AP13" s="245" t="str">
        <f t="shared" si="1"/>
        <v>0.0001-114.125099535626i</v>
      </c>
      <c r="AQ13" s="246" t="str">
        <f t="shared" si="2"/>
        <v>0.000000001</v>
      </c>
      <c r="AR13" s="246" t="str">
        <f t="shared" si="3"/>
        <v>0.154991081306871+46.4973243920612i</v>
      </c>
      <c r="AS13" s="247" t="str">
        <f t="shared" si="4"/>
        <v>9999999999+9999999i</v>
      </c>
      <c r="AT13" s="244"/>
      <c r="AU13" s="244" t="str">
        <f t="shared" si="0"/>
        <v>0.154991082306871+46.4973243920612i</v>
      </c>
      <c r="AV13" s="244" t="str">
        <f t="shared" si="5"/>
        <v>1084937625.49043+464974793784.783i</v>
      </c>
      <c r="AW13" s="244" t="str">
        <f t="shared" si="6"/>
        <v>9999999999.15499+10000045.4973244i</v>
      </c>
      <c r="AX13" s="244" t="str">
        <f t="shared" si="7"/>
        <v>0.154991298502929+46.4973243904037i</v>
      </c>
      <c r="AY13" s="244" t="str">
        <f t="shared" si="8"/>
        <v>0.155091298502929-67.6277751452223i</v>
      </c>
      <c r="AZ13" s="244">
        <f t="shared" si="9"/>
        <v>3.0000000000000004</v>
      </c>
      <c r="BA13" s="244">
        <f t="shared" si="10"/>
        <v>67.627952981024194</v>
      </c>
    </row>
    <row r="14" spans="2:57" ht="18.75" x14ac:dyDescent="0.35">
      <c r="B14" s="95" t="s">
        <v>160</v>
      </c>
      <c r="D14" s="139">
        <f>1000*D9*0.001/(D8*1.73)</f>
        <v>46.331024136257334</v>
      </c>
      <c r="E14" s="87" t="s">
        <v>12</v>
      </c>
      <c r="N14" s="95" t="s">
        <v>26</v>
      </c>
      <c r="O14" s="89">
        <f>D8*D8/(O11-O10)</f>
        <v>3.0809595482708256</v>
      </c>
      <c r="P14" s="87" t="s">
        <v>2</v>
      </c>
      <c r="X14" s="51" t="s">
        <v>327</v>
      </c>
      <c r="Y14" s="284">
        <f>D30*3/1000</f>
        <v>2.532308853844937</v>
      </c>
      <c r="Z14" s="284"/>
      <c r="AA14" s="274" t="s">
        <v>328</v>
      </c>
      <c r="AB14" s="284">
        <f>D29*1.73</f>
        <v>29.41</v>
      </c>
      <c r="AC14" s="284"/>
      <c r="AD14" s="87" t="s">
        <v>329</v>
      </c>
      <c r="AO14" s="87">
        <f t="shared" si="11"/>
        <v>3.2000000000000006</v>
      </c>
      <c r="AP14" s="126" t="str">
        <f t="shared" si="1"/>
        <v>0.0001-106.992280814649i</v>
      </c>
      <c r="AQ14" s="105" t="str">
        <f t="shared" si="2"/>
        <v>0.000000001</v>
      </c>
      <c r="AR14" s="105" t="str">
        <f t="shared" si="3"/>
        <v>0.154991081306871+49.5971460181986i</v>
      </c>
      <c r="AS14" s="93" t="str">
        <f t="shared" si="4"/>
        <v>9999999999+9999999i</v>
      </c>
      <c r="AU14" s="87" t="str">
        <f t="shared" si="0"/>
        <v>0.154991082306871+49.5971460181986i</v>
      </c>
      <c r="AV14" s="87" t="str">
        <f t="shared" si="5"/>
        <v>1053939412.32888+495973010043.057i</v>
      </c>
      <c r="AW14" s="87" t="str">
        <f t="shared" si="6"/>
        <v>9999999999.15499+10000048.597146i</v>
      </c>
      <c r="AX14" s="87" t="str">
        <f t="shared" si="7"/>
        <v>0.154991328290375+49.5971460164152i</v>
      </c>
      <c r="AY14" s="87" t="str">
        <f t="shared" si="8"/>
        <v>0.155091328290375-57.3951347982338i</v>
      </c>
      <c r="AZ14" s="87">
        <f t="shared" si="9"/>
        <v>3.2000000000000006</v>
      </c>
      <c r="BA14" s="87">
        <f t="shared" si="10"/>
        <v>57.395344339306284</v>
      </c>
    </row>
    <row r="15" spans="2:57" ht="18" x14ac:dyDescent="0.35">
      <c r="B15" s="91" t="s">
        <v>54</v>
      </c>
      <c r="D15" s="141">
        <f>SQRT(SUM(T85:AA85,T79:AA79))</f>
        <v>108.40001751620919</v>
      </c>
      <c r="E15" s="103" t="s">
        <v>12</v>
      </c>
      <c r="X15" s="51" t="s">
        <v>327</v>
      </c>
      <c r="Y15" s="284"/>
      <c r="Z15" s="284"/>
      <c r="AA15" s="274" t="s">
        <v>328</v>
      </c>
      <c r="AB15" s="284"/>
      <c r="AC15" s="284"/>
      <c r="AD15" s="87" t="s">
        <v>329</v>
      </c>
      <c r="AO15" s="87">
        <f t="shared" si="11"/>
        <v>3.4000000000000008</v>
      </c>
      <c r="AP15" s="126" t="str">
        <f t="shared" si="1"/>
        <v>0.0001-100.698617237317i</v>
      </c>
      <c r="AQ15" s="105" t="str">
        <f t="shared" si="2"/>
        <v>0.000000001</v>
      </c>
      <c r="AR15" s="105" t="str">
        <f t="shared" si="3"/>
        <v>0.154991081306871+52.6969676443361i</v>
      </c>
      <c r="AS15" s="93" t="str">
        <f t="shared" si="4"/>
        <v>9999999999+9999999i</v>
      </c>
      <c r="AU15" s="87" t="str">
        <f t="shared" si="0"/>
        <v>0.154991082306871+52.6969676443361i</v>
      </c>
      <c r="AV15" s="87" t="str">
        <f t="shared" si="5"/>
        <v>1022941199.16733+526971226301.332i</v>
      </c>
      <c r="AW15" s="87" t="str">
        <f t="shared" si="6"/>
        <v>9999999999.15499+10000051.6969676i</v>
      </c>
      <c r="AX15" s="87" t="str">
        <f t="shared" si="7"/>
        <v>0.154991359999598+52.6969676424249i</v>
      </c>
      <c r="AY15" s="87" t="str">
        <f t="shared" si="8"/>
        <v>0.155091359999598-48.0016495948921i</v>
      </c>
      <c r="AZ15" s="87">
        <f t="shared" si="9"/>
        <v>3.4000000000000008</v>
      </c>
      <c r="BA15" s="87">
        <f t="shared" si="10"/>
        <v>48.001900141148077</v>
      </c>
    </row>
    <row r="16" spans="2:57" ht="21" x14ac:dyDescent="0.35">
      <c r="N16" s="136" t="s">
        <v>259</v>
      </c>
      <c r="O16" s="136"/>
      <c r="P16" s="136"/>
      <c r="AO16" s="87">
        <f t="shared" si="11"/>
        <v>3.600000000000001</v>
      </c>
      <c r="AP16" s="126" t="str">
        <f t="shared" si="1"/>
        <v>0.0001-95.1042496130215i</v>
      </c>
      <c r="AQ16" s="105" t="str">
        <f t="shared" si="2"/>
        <v>0.000000001</v>
      </c>
      <c r="AR16" s="105" t="str">
        <f t="shared" si="3"/>
        <v>0.154991081306871+55.7967892704735i</v>
      </c>
      <c r="AS16" s="93" t="str">
        <f t="shared" si="4"/>
        <v>9999999999+9999999i</v>
      </c>
      <c r="AU16" s="87" t="str">
        <f t="shared" si="0"/>
        <v>0.154991082306871+55.7967892704735i</v>
      </c>
      <c r="AV16" s="87" t="str">
        <f t="shared" si="5"/>
        <v>991942986.005773+557969442559.606i</v>
      </c>
      <c r="AW16" s="87" t="str">
        <f t="shared" si="6"/>
        <v>9999999999.15499+10000054.7967893i</v>
      </c>
      <c r="AX16" s="87" t="str">
        <f t="shared" si="7"/>
        <v>0.154991393630597+55.7967892684326i</v>
      </c>
      <c r="AY16" s="87" t="str">
        <f t="shared" si="8"/>
        <v>0.155091393630597-39.3074603445889i</v>
      </c>
      <c r="AZ16" s="87">
        <f t="shared" si="9"/>
        <v>3.600000000000001</v>
      </c>
      <c r="BA16" s="87">
        <f t="shared" si="10"/>
        <v>39.307766307458976</v>
      </c>
    </row>
    <row r="17" spans="2:53" x14ac:dyDescent="0.25">
      <c r="B17" s="91"/>
      <c r="AO17" s="87">
        <f t="shared" si="11"/>
        <v>3.8000000000000012</v>
      </c>
      <c r="AP17" s="126" t="str">
        <f t="shared" si="1"/>
        <v>0.0001-90.0987627912835i</v>
      </c>
      <c r="AQ17" s="105" t="str">
        <f t="shared" si="2"/>
        <v>0.000000001</v>
      </c>
      <c r="AR17" s="105" t="str">
        <f t="shared" si="3"/>
        <v>0.154991081306871+58.8966108966109i</v>
      </c>
      <c r="AS17" s="93" t="str">
        <f t="shared" si="4"/>
        <v>9999999999+9999999i</v>
      </c>
      <c r="AU17" s="87" t="str">
        <f t="shared" si="0"/>
        <v>0.154991082306871+58.8966108966109i</v>
      </c>
      <c r="AV17" s="87" t="str">
        <f t="shared" si="5"/>
        <v>960944772.844221+588967658817.88i</v>
      </c>
      <c r="AW17" s="87" t="str">
        <f t="shared" si="6"/>
        <v>9999999999.15499+10000057.8966109i</v>
      </c>
      <c r="AX17" s="87" t="str">
        <f t="shared" si="7"/>
        <v>0.154991429183374+58.8966108944383i</v>
      </c>
      <c r="AY17" s="87" t="str">
        <f t="shared" si="8"/>
        <v>0.155091429183374-31.2021518968452i</v>
      </c>
      <c r="AZ17" s="87">
        <f t="shared" si="9"/>
        <v>3.8000000000000012</v>
      </c>
      <c r="BA17" s="87">
        <f t="shared" si="10"/>
        <v>31.202537338255148</v>
      </c>
    </row>
    <row r="18" spans="2:53" x14ac:dyDescent="0.25">
      <c r="B18" s="91"/>
      <c r="D18" s="89"/>
      <c r="N18" s="87" t="s">
        <v>219</v>
      </c>
      <c r="O18" s="160">
        <v>490</v>
      </c>
      <c r="P18" s="87" t="s">
        <v>11</v>
      </c>
      <c r="AO18" s="244">
        <f t="shared" si="11"/>
        <v>4.0000000000000009</v>
      </c>
      <c r="AP18" s="245" t="str">
        <f t="shared" si="1"/>
        <v>0.0001-85.5938246517194i</v>
      </c>
      <c r="AQ18" s="246" t="str">
        <f t="shared" si="2"/>
        <v>0.000000001</v>
      </c>
      <c r="AR18" s="246" t="str">
        <f t="shared" si="3"/>
        <v>0.154991081306871+61.9964325227483i</v>
      </c>
      <c r="AS18" s="247" t="str">
        <f t="shared" si="4"/>
        <v>9999999999+9999999i</v>
      </c>
      <c r="AT18" s="244"/>
      <c r="AU18" s="244" t="str">
        <f t="shared" si="0"/>
        <v>0.154991082306871+61.9964325227483i</v>
      </c>
      <c r="AV18" s="244" t="str">
        <f t="shared" si="5"/>
        <v>929946559.682668+619965875076.155i</v>
      </c>
      <c r="AW18" s="244" t="str">
        <f t="shared" si="6"/>
        <v>9999999999.15499+10000060.9964325i</v>
      </c>
      <c r="AX18" s="244" t="str">
        <f t="shared" si="7"/>
        <v>0.154991466657927+61.9964325204422i</v>
      </c>
      <c r="AY18" s="244" t="str">
        <f t="shared" si="8"/>
        <v>0.155091466657927-23.5973921312772i</v>
      </c>
      <c r="AZ18" s="244">
        <f t="shared" si="9"/>
        <v>4.0000000000000009</v>
      </c>
      <c r="BA18" s="244">
        <f t="shared" si="10"/>
        <v>23.597901787241447</v>
      </c>
    </row>
    <row r="19" spans="2:53" x14ac:dyDescent="0.25">
      <c r="B19" s="91"/>
      <c r="D19" s="93"/>
      <c r="N19" s="87" t="s">
        <v>220</v>
      </c>
      <c r="O19" s="185">
        <v>60</v>
      </c>
      <c r="P19" s="87" t="s">
        <v>222</v>
      </c>
      <c r="AO19" s="87">
        <f t="shared" si="11"/>
        <v>4.2000000000000011</v>
      </c>
      <c r="AP19" s="126" t="str">
        <f t="shared" si="1"/>
        <v>0.0001-81.5179282397327i</v>
      </c>
      <c r="AQ19" s="105" t="str">
        <f t="shared" si="2"/>
        <v>0.000000001</v>
      </c>
      <c r="AR19" s="105" t="str">
        <f t="shared" si="3"/>
        <v>0.154991081306871+65.0962541488857i</v>
      </c>
      <c r="AS19" s="93" t="str">
        <f t="shared" si="4"/>
        <v>9999999999+9999999i</v>
      </c>
      <c r="AU19" s="87" t="str">
        <f t="shared" si="0"/>
        <v>0.154991082306871+65.0962541488857i</v>
      </c>
      <c r="AV19" s="87" t="str">
        <f t="shared" si="5"/>
        <v>898948346.521116+650964091334.429i</v>
      </c>
      <c r="AW19" s="87" t="str">
        <f t="shared" si="6"/>
        <v>9999999999.15499+10000064.0962541i</v>
      </c>
      <c r="AX19" s="87" t="str">
        <f t="shared" si="7"/>
        <v>0.154991506054257+65.0962541464441i</v>
      </c>
      <c r="AY19" s="87" t="str">
        <f t="shared" si="8"/>
        <v>0.155091506054257-16.4216740932886i</v>
      </c>
      <c r="AZ19" s="87">
        <f t="shared" si="9"/>
        <v>4.2000000000000011</v>
      </c>
      <c r="BA19" s="87">
        <f t="shared" si="10"/>
        <v>16.422406443680423</v>
      </c>
    </row>
    <row r="20" spans="2:53" x14ac:dyDescent="0.25">
      <c r="N20" s="87" t="s">
        <v>221</v>
      </c>
      <c r="O20" s="160">
        <v>9.9600000000000009</v>
      </c>
      <c r="P20" s="87" t="s">
        <v>1</v>
      </c>
      <c r="AO20" s="87">
        <f t="shared" si="11"/>
        <v>4.4000000000000012</v>
      </c>
      <c r="AP20" s="126" t="str">
        <f t="shared" si="1"/>
        <v>0.0001-77.8125678651994i</v>
      </c>
      <c r="AQ20" s="105" t="str">
        <f t="shared" si="2"/>
        <v>0.000000001</v>
      </c>
      <c r="AR20" s="105" t="str">
        <f t="shared" si="3"/>
        <v>0.154991081306871+68.1960757750231i</v>
      </c>
      <c r="AS20" s="93" t="str">
        <f t="shared" si="4"/>
        <v>9999999999+9999999i</v>
      </c>
      <c r="AU20" s="87" t="str">
        <f t="shared" si="0"/>
        <v>0.154991082306871+68.1960757750231i</v>
      </c>
      <c r="AV20" s="87" t="str">
        <f t="shared" si="5"/>
        <v>867950133.359564+681962307592.703i</v>
      </c>
      <c r="AW20" s="87" t="str">
        <f t="shared" si="6"/>
        <v>9999999999.15499+10000067.1960758i</v>
      </c>
      <c r="AX20" s="87" t="str">
        <f t="shared" si="7"/>
        <v>0.154991547372365+68.1960757724441i</v>
      </c>
      <c r="AY20" s="87" t="str">
        <f t="shared" si="8"/>
        <v>0.155091547372365-9.61649209275529i</v>
      </c>
      <c r="AZ20" s="87">
        <f t="shared" si="9"/>
        <v>4.4000000000000012</v>
      </c>
      <c r="BA20" s="87">
        <f t="shared" si="10"/>
        <v>9.6177426435776159</v>
      </c>
    </row>
    <row r="21" spans="2:53" ht="15.75" customHeight="1" x14ac:dyDescent="0.25">
      <c r="B21" s="91"/>
      <c r="N21" s="87" t="s">
        <v>144</v>
      </c>
      <c r="O21" s="243">
        <f>ROUND(1000*1000/(O22*2*3.1415*O19),2)</f>
        <v>13.1</v>
      </c>
      <c r="P21" s="87" t="s">
        <v>166</v>
      </c>
      <c r="AO21" s="87">
        <f t="shared" si="11"/>
        <v>4.6000000000000014</v>
      </c>
      <c r="AP21" s="126" t="str">
        <f t="shared" si="1"/>
        <v>0.0001-74.4294127406255i</v>
      </c>
      <c r="AQ21" s="105" t="str">
        <f t="shared" si="2"/>
        <v>0.000000001</v>
      </c>
      <c r="AR21" s="105" t="str">
        <f t="shared" si="3"/>
        <v>0.154991081306871+71.2958974011606i</v>
      </c>
      <c r="AS21" s="93" t="str">
        <f t="shared" si="4"/>
        <v>9999999999+9999999i</v>
      </c>
      <c r="AU21" s="87" t="str">
        <f t="shared" si="0"/>
        <v>0.154991082306871+71.2958974011606i</v>
      </c>
      <c r="AV21" s="87" t="str">
        <f t="shared" si="5"/>
        <v>836951920.19801+712960523850.978i</v>
      </c>
      <c r="AW21" s="87" t="str">
        <f t="shared" si="6"/>
        <v>9999999999.15499+10000070.2958974i</v>
      </c>
      <c r="AX21" s="87" t="str">
        <f t="shared" si="7"/>
        <v>0.154991590612249+71.2958973984422i</v>
      </c>
      <c r="AY21" s="87" t="str">
        <f t="shared" si="8"/>
        <v>0.155091590612249-3.1335153421833i</v>
      </c>
      <c r="AZ21" s="87">
        <f t="shared" si="9"/>
        <v>4.6000000000000014</v>
      </c>
      <c r="BA21" s="87">
        <f t="shared" si="10"/>
        <v>3.1373510803186759</v>
      </c>
    </row>
    <row r="22" spans="2:53" ht="27" customHeight="1" x14ac:dyDescent="0.35">
      <c r="B22" s="95" t="s">
        <v>27</v>
      </c>
      <c r="D22" s="139">
        <f>(D10*D10/(D10*D10-1))*D13</f>
        <v>342.37529860687749</v>
      </c>
      <c r="E22" s="87" t="s">
        <v>3</v>
      </c>
      <c r="K22" s="106" t="s">
        <v>151</v>
      </c>
      <c r="L22" s="128" t="str">
        <f>ROUND(1000*1000/(2*3.1415*D11*D22),2)&amp;" micro-farads/Phase"</f>
        <v>7.75 micro-farads/Phase</v>
      </c>
      <c r="N22" s="95" t="s">
        <v>147</v>
      </c>
      <c r="O22" s="243">
        <f>O20*O20/(O18/1000)</f>
        <v>202.45224489795922</v>
      </c>
      <c r="P22" s="87" t="s">
        <v>3</v>
      </c>
      <c r="AO22" s="87">
        <f t="shared" si="11"/>
        <v>4.8000000000000016</v>
      </c>
      <c r="AP22" s="126" t="str">
        <f t="shared" si="1"/>
        <v>0.0001-71.3281872097661i</v>
      </c>
      <c r="AQ22" s="105" t="str">
        <f t="shared" si="2"/>
        <v>0.000000001</v>
      </c>
      <c r="AR22" s="105" t="str">
        <f t="shared" si="3"/>
        <v>0.154991081306871+74.395719027298i</v>
      </c>
      <c r="AS22" s="93" t="str">
        <f t="shared" si="4"/>
        <v>9999999999+9999999i</v>
      </c>
      <c r="AU22" s="87" t="str">
        <f t="shared" si="0"/>
        <v>0.154991082306871+74.395719027298i</v>
      </c>
      <c r="AV22" s="87" t="str">
        <f t="shared" si="5"/>
        <v>805953707.036458+743958740109.252i</v>
      </c>
      <c r="AW22" s="87" t="str">
        <f t="shared" si="6"/>
        <v>9999999999.15499+10000073.395719i</v>
      </c>
      <c r="AX22" s="87" t="str">
        <f t="shared" si="7"/>
        <v>0.15499163577391+74.3957190244384i</v>
      </c>
      <c r="AY22" s="87" t="str">
        <f t="shared" si="8"/>
        <v>0.15509163577391+3.06753181467231i</v>
      </c>
      <c r="AZ22" s="87">
        <f t="shared" si="9"/>
        <v>4.8000000000000016</v>
      </c>
      <c r="BA22" s="87">
        <f t="shared" si="10"/>
        <v>3.0714499588164905</v>
      </c>
    </row>
    <row r="23" spans="2:53" x14ac:dyDescent="0.25">
      <c r="D23" s="143"/>
      <c r="I23" s="87" t="s">
        <v>0</v>
      </c>
      <c r="N23" s="195" t="s">
        <v>223</v>
      </c>
      <c r="O23" s="25">
        <f>O18/O20</f>
        <v>49.196787148594375</v>
      </c>
      <c r="P23" s="195" t="s">
        <v>53</v>
      </c>
      <c r="AO23" s="248">
        <f t="shared" si="11"/>
        <v>5.0000000000000018</v>
      </c>
      <c r="AP23" s="249" t="str">
        <f t="shared" si="1"/>
        <v>0.0001-68.4750597213755i</v>
      </c>
      <c r="AQ23" s="250" t="str">
        <f t="shared" si="2"/>
        <v>0.000000001</v>
      </c>
      <c r="AR23" s="250" t="str">
        <f t="shared" si="3"/>
        <v>0.154991081306871+77.4955406534354i</v>
      </c>
      <c r="AS23" s="251" t="str">
        <f t="shared" si="4"/>
        <v>9999999999+9999999i</v>
      </c>
      <c r="AT23" s="248"/>
      <c r="AU23" s="248" t="str">
        <f t="shared" si="0"/>
        <v>0.154991082306871+77.4955406534354i</v>
      </c>
      <c r="AV23" s="248" t="str">
        <f t="shared" si="5"/>
        <v>774955493.874906+774956956367.526i</v>
      </c>
      <c r="AW23" s="248" t="str">
        <f t="shared" si="6"/>
        <v>9999999999.15499+10000076.4955407i</v>
      </c>
      <c r="AX23" s="248" t="str">
        <f t="shared" si="7"/>
        <v>0.154991682857349+77.4955406504326i</v>
      </c>
      <c r="AY23" s="248" t="str">
        <f t="shared" si="8"/>
        <v>0.155091682857349+9.0204809290571i</v>
      </c>
      <c r="AZ23" s="248">
        <f t="shared" si="9"/>
        <v>5.0000000000000018</v>
      </c>
      <c r="BA23" s="248">
        <f t="shared" si="10"/>
        <v>9.021814098149795</v>
      </c>
    </row>
    <row r="24" spans="2:53" ht="33" x14ac:dyDescent="0.25">
      <c r="B24" s="121" t="s">
        <v>132</v>
      </c>
      <c r="D24" s="139">
        <f>D22/(D10*D10)</f>
        <v>15.499108130687073</v>
      </c>
      <c r="E24" s="87" t="s">
        <v>5</v>
      </c>
      <c r="AO24" s="87">
        <f t="shared" si="11"/>
        <v>5.200000000000002</v>
      </c>
      <c r="AP24" s="126" t="str">
        <f t="shared" si="1"/>
        <v>0.0001-65.8414035782456i</v>
      </c>
      <c r="AQ24" s="105" t="str">
        <f t="shared" si="2"/>
        <v>0.000000001</v>
      </c>
      <c r="AR24" s="105" t="str">
        <f t="shared" si="3"/>
        <v>0.154991081306871+80.5953622795728i</v>
      </c>
      <c r="AS24" s="93" t="str">
        <f t="shared" si="4"/>
        <v>9999999999+9999999i</v>
      </c>
      <c r="AU24" s="87" t="str">
        <f t="shared" si="0"/>
        <v>0.154991082306871+80.5953622795728i</v>
      </c>
      <c r="AV24" s="87" t="str">
        <f t="shared" si="5"/>
        <v>743957280.713353+805955172625.801i</v>
      </c>
      <c r="AW24" s="87" t="str">
        <f t="shared" si="6"/>
        <v>9999999999.15499+10000079.5953623i</v>
      </c>
      <c r="AX24" s="87" t="str">
        <f t="shared" si="7"/>
        <v>0.154991731862563+80.595362276425i</v>
      </c>
      <c r="AY24" s="87" t="str">
        <f t="shared" si="8"/>
        <v>0.155091731862563+14.7539586981794i</v>
      </c>
      <c r="AZ24" s="87">
        <f t="shared" si="9"/>
        <v>5.200000000000002</v>
      </c>
      <c r="BA24" s="87">
        <f t="shared" si="10"/>
        <v>14.754773827913313</v>
      </c>
    </row>
    <row r="25" spans="2:53" ht="28.5" customHeight="1" x14ac:dyDescent="0.35">
      <c r="B25" s="123" t="s">
        <v>114</v>
      </c>
      <c r="D25" s="139">
        <f>1000*D24/(2*3.1415*D11)</f>
        <v>41.113873761703729</v>
      </c>
      <c r="E25" s="87" t="s">
        <v>9</v>
      </c>
      <c r="N25" s="136" t="s">
        <v>251</v>
      </c>
      <c r="O25" s="136"/>
      <c r="P25" s="136"/>
      <c r="AO25" s="87">
        <f t="shared" si="11"/>
        <v>5.4000000000000021</v>
      </c>
      <c r="AP25" s="126" t="str">
        <f t="shared" si="1"/>
        <v>0.0001-63.4028330753477i</v>
      </c>
      <c r="AQ25" s="105" t="str">
        <f t="shared" si="2"/>
        <v>0.000000001</v>
      </c>
      <c r="AR25" s="105" t="str">
        <f t="shared" si="3"/>
        <v>0.154991081306871+83.6951839057102i</v>
      </c>
      <c r="AS25" s="93" t="str">
        <f t="shared" si="4"/>
        <v>9999999999+9999999i</v>
      </c>
      <c r="AU25" s="87" t="str">
        <f t="shared" si="0"/>
        <v>0.154991082306871+83.6951839057102i</v>
      </c>
      <c r="AV25" s="87" t="str">
        <f t="shared" si="5"/>
        <v>712959067.551801+836953388884.075i</v>
      </c>
      <c r="AW25" s="87" t="str">
        <f t="shared" si="6"/>
        <v>9999999999.15499+10000082.6951839i</v>
      </c>
      <c r="AX25" s="87" t="str">
        <f t="shared" si="7"/>
        <v>0.154991782789555+83.6951839024153i</v>
      </c>
      <c r="AY25" s="87" t="str">
        <f t="shared" si="8"/>
        <v>0.155091782789555+20.2923508270676i</v>
      </c>
      <c r="AZ25" s="87">
        <f t="shared" si="9"/>
        <v>5.4000000000000021</v>
      </c>
      <c r="BA25" s="87">
        <f t="shared" si="10"/>
        <v>20.292943491516453</v>
      </c>
    </row>
    <row r="26" spans="2:53" ht="33" x14ac:dyDescent="0.25">
      <c r="B26" s="122" t="s">
        <v>150</v>
      </c>
      <c r="D26" s="160">
        <v>100</v>
      </c>
      <c r="E26" s="124" t="s">
        <v>133</v>
      </c>
      <c r="AO26" s="87">
        <f t="shared" si="11"/>
        <v>5.6000000000000023</v>
      </c>
      <c r="AP26" s="126" t="str">
        <f t="shared" si="1"/>
        <v>0.0001-61.1384461797995i</v>
      </c>
      <c r="AQ26" s="105" t="str">
        <f t="shared" si="2"/>
        <v>0.000000001</v>
      </c>
      <c r="AR26" s="105" t="str">
        <f t="shared" si="3"/>
        <v>0.154991081306871+86.7950055318477i</v>
      </c>
      <c r="AS26" s="93" t="str">
        <f t="shared" si="4"/>
        <v>9999999999+9999999i</v>
      </c>
      <c r="AU26" s="87" t="str">
        <f t="shared" si="0"/>
        <v>0.154991082306871+86.7950055318477i</v>
      </c>
      <c r="AV26" s="87" t="str">
        <f t="shared" si="5"/>
        <v>681960854.390247+867951605142.35i</v>
      </c>
      <c r="AW26" s="87" t="str">
        <f t="shared" si="6"/>
        <v>9999999999.15499+10000085.7950055i</v>
      </c>
      <c r="AX26" s="87" t="str">
        <f t="shared" si="7"/>
        <v>0.154991835638323+86.7950055284039i</v>
      </c>
      <c r="AY26" s="87" t="str">
        <f t="shared" si="8"/>
        <v>0.155091835638323+25.6565593486044i</v>
      </c>
      <c r="AZ26" s="87">
        <f t="shared" si="9"/>
        <v>5.6000000000000023</v>
      </c>
      <c r="BA26" s="87">
        <f t="shared" si="10"/>
        <v>25.657028103152197</v>
      </c>
    </row>
    <row r="27" spans="2:53" x14ac:dyDescent="0.25">
      <c r="B27" s="91"/>
      <c r="N27" s="87" t="s">
        <v>252</v>
      </c>
      <c r="O27" s="98">
        <v>7</v>
      </c>
      <c r="P27" s="87" t="s">
        <v>253</v>
      </c>
      <c r="AO27" s="87">
        <f t="shared" si="11"/>
        <v>5.8000000000000025</v>
      </c>
      <c r="AP27" s="126" t="str">
        <f t="shared" si="1"/>
        <v>0.0001-59.0302238977375i</v>
      </c>
      <c r="AQ27" s="105" t="str">
        <f t="shared" si="2"/>
        <v>0.000000001</v>
      </c>
      <c r="AR27" s="105" t="str">
        <f t="shared" si="3"/>
        <v>0.154991081306871+89.8948271579851i</v>
      </c>
      <c r="AS27" s="93" t="str">
        <f t="shared" si="4"/>
        <v>9999999999+9999999i</v>
      </c>
      <c r="AU27" s="87" t="str">
        <f t="shared" si="0"/>
        <v>0.154991082306871+89.8948271579851i</v>
      </c>
      <c r="AV27" s="87" t="str">
        <f t="shared" si="5"/>
        <v>650962641.228695+898949821400.624i</v>
      </c>
      <c r="AW27" s="87" t="str">
        <f t="shared" si="6"/>
        <v>9999999999.15499+10000088.8948272i</v>
      </c>
      <c r="AX27" s="87" t="str">
        <f t="shared" si="7"/>
        <v>0.154991890408869+89.8948271543904i</v>
      </c>
      <c r="AY27" s="87" t="str">
        <f t="shared" si="8"/>
        <v>0.155091890408869+30.8646032566529i</v>
      </c>
      <c r="AZ27" s="87">
        <f t="shared" si="9"/>
        <v>5.8000000000000025</v>
      </c>
      <c r="BA27" s="87">
        <f t="shared" si="10"/>
        <v>30.864992915681341</v>
      </c>
    </row>
    <row r="28" spans="2:53" ht="21" x14ac:dyDescent="0.35">
      <c r="B28" s="286" t="s">
        <v>153</v>
      </c>
      <c r="C28" s="286"/>
      <c r="D28" s="286"/>
      <c r="E28" s="286"/>
      <c r="F28" s="286"/>
      <c r="G28" s="286"/>
      <c r="H28" s="286"/>
      <c r="I28" s="286"/>
      <c r="J28" s="286"/>
      <c r="K28" s="286"/>
      <c r="L28" s="286"/>
      <c r="N28" s="195" t="s">
        <v>254</v>
      </c>
      <c r="O28" s="89">
        <f>SQRT(1/(O27/100))</f>
        <v>3.7796447300922722</v>
      </c>
      <c r="AO28" s="87">
        <f t="shared" si="11"/>
        <v>6.0000000000000027</v>
      </c>
      <c r="AP28" s="126" t="str">
        <f t="shared" si="1"/>
        <v>0.0001-57.0625497678129i</v>
      </c>
      <c r="AQ28" s="105" t="str">
        <f t="shared" si="2"/>
        <v>0.000000001</v>
      </c>
      <c r="AR28" s="105" t="str">
        <f t="shared" si="3"/>
        <v>0.154991081306871+92.9946487841225i</v>
      </c>
      <c r="AS28" s="93" t="str">
        <f t="shared" si="4"/>
        <v>9999999999+9999999i</v>
      </c>
      <c r="AU28" s="87" t="str">
        <f t="shared" si="0"/>
        <v>0.154991082306871+92.9946487841225i</v>
      </c>
      <c r="AV28" s="87" t="str">
        <f t="shared" si="5"/>
        <v>619964428.067143+929948037658.898i</v>
      </c>
      <c r="AW28" s="87" t="str">
        <f t="shared" si="6"/>
        <v>9999999999.15499+10000091.9946488i</v>
      </c>
      <c r="AX28" s="87" t="str">
        <f t="shared" si="7"/>
        <v>0.154991947101192+92.994648780375i</v>
      </c>
      <c r="AY28" s="87" t="str">
        <f t="shared" si="8"/>
        <v>0.155091947101192+35.9320990125621i</v>
      </c>
      <c r="AZ28" s="87">
        <f t="shared" si="9"/>
        <v>6.0000000000000027</v>
      </c>
      <c r="BA28" s="87">
        <f t="shared" si="10"/>
        <v>35.932433718864935</v>
      </c>
    </row>
    <row r="29" spans="2:53" ht="23.25" customHeight="1" x14ac:dyDescent="0.35">
      <c r="B29" s="91" t="s">
        <v>152</v>
      </c>
      <c r="D29" s="98">
        <v>17</v>
      </c>
      <c r="E29" s="87" t="s">
        <v>1</v>
      </c>
      <c r="W29" s="312" t="s">
        <v>340</v>
      </c>
      <c r="X29" s="312"/>
      <c r="Y29" s="312"/>
      <c r="Z29" s="312"/>
      <c r="AA29" s="312"/>
      <c r="AB29" s="312"/>
      <c r="AC29" s="312"/>
      <c r="AD29" s="312"/>
      <c r="AO29" s="87">
        <f t="shared" si="11"/>
        <v>6.2000000000000028</v>
      </c>
      <c r="AP29" s="126" t="str">
        <f t="shared" si="1"/>
        <v>0.0001-55.221822355948i</v>
      </c>
      <c r="AQ29" s="105" t="str">
        <f t="shared" si="2"/>
        <v>0.000000001</v>
      </c>
      <c r="AR29" s="105" t="str">
        <f t="shared" si="3"/>
        <v>0.154991081306871+96.0944704102599i</v>
      </c>
      <c r="AS29" s="93" t="str">
        <f t="shared" si="4"/>
        <v>9999999999+9999999i</v>
      </c>
      <c r="AU29" s="87" t="str">
        <f t="shared" si="0"/>
        <v>0.154991082306871+96.0944704102599i</v>
      </c>
      <c r="AV29" s="87" t="str">
        <f t="shared" si="5"/>
        <v>588966214.90559+960946253917.173i</v>
      </c>
      <c r="AW29" s="87" t="str">
        <f t="shared" si="6"/>
        <v>9999999999.15499+10000095.0944704i</v>
      </c>
      <c r="AX29" s="87" t="str">
        <f t="shared" si="7"/>
        <v>0.154992005715291+96.0944704063578i</v>
      </c>
      <c r="AY29" s="87" t="str">
        <f t="shared" si="8"/>
        <v>0.155092005715291+40.8726480504098i</v>
      </c>
      <c r="AZ29" s="87">
        <f t="shared" si="9"/>
        <v>6.2000000000000028</v>
      </c>
      <c r="BA29" s="87">
        <f t="shared" si="10"/>
        <v>40.872942299067546</v>
      </c>
    </row>
    <row r="30" spans="2:53" ht="21" x14ac:dyDescent="0.35">
      <c r="B30" s="91" t="s">
        <v>28</v>
      </c>
      <c r="D30" s="140">
        <f>1000*(D29*D29)/D22</f>
        <v>844.10295128164569</v>
      </c>
      <c r="E30" s="87" t="s">
        <v>11</v>
      </c>
      <c r="N30" s="136" t="s">
        <v>258</v>
      </c>
      <c r="O30" s="136"/>
      <c r="P30" s="136"/>
      <c r="X30" s="51"/>
      <c r="Y30" s="313" t="s">
        <v>335</v>
      </c>
      <c r="Z30" s="313"/>
      <c r="AA30" s="51"/>
      <c r="AB30" s="313" t="s">
        <v>336</v>
      </c>
      <c r="AC30" s="313"/>
      <c r="AO30" s="87">
        <f t="shared" si="11"/>
        <v>6.400000000000003</v>
      </c>
      <c r="AP30" s="126" t="str">
        <f t="shared" si="1"/>
        <v>0.0001-53.4961404073246i</v>
      </c>
      <c r="AQ30" s="105" t="str">
        <f t="shared" si="2"/>
        <v>0.000000001</v>
      </c>
      <c r="AR30" s="105" t="str">
        <f t="shared" si="3"/>
        <v>0.154991081306871+99.1942920363973i</v>
      </c>
      <c r="AS30" s="93" t="str">
        <f t="shared" si="4"/>
        <v>9999999999+9999999i</v>
      </c>
      <c r="AU30" s="87" t="str">
        <f t="shared" si="0"/>
        <v>0.154991082306871+99.1942920363973i</v>
      </c>
      <c r="AV30" s="87" t="str">
        <f t="shared" si="5"/>
        <v>557968001.744038+991944470175.447i</v>
      </c>
      <c r="AW30" s="87" t="str">
        <f t="shared" si="6"/>
        <v>9999999999.15499+10000098.194292i</v>
      </c>
      <c r="AX30" s="87" t="str">
        <f t="shared" si="7"/>
        <v>0.154992066251167+99.1942920323385i</v>
      </c>
      <c r="AY30" s="87" t="str">
        <f t="shared" si="8"/>
        <v>0.155092066251167+45.6981516250139i</v>
      </c>
      <c r="AZ30" s="87">
        <f t="shared" si="9"/>
        <v>6.400000000000003</v>
      </c>
      <c r="BA30" s="87">
        <f t="shared" si="10"/>
        <v>45.698414802832872</v>
      </c>
    </row>
    <row r="31" spans="2:53" ht="24.75" customHeight="1" x14ac:dyDescent="0.25">
      <c r="B31" s="99" t="s">
        <v>154</v>
      </c>
      <c r="D31" s="160">
        <v>2</v>
      </c>
      <c r="J31" s="106" t="s">
        <v>87</v>
      </c>
      <c r="K31" s="171">
        <f>(D29*D29)/D32*1000</f>
        <v>684.75059721375499</v>
      </c>
      <c r="L31" s="87" t="s">
        <v>135</v>
      </c>
      <c r="X31" s="275" t="s">
        <v>331</v>
      </c>
      <c r="Y31" s="302">
        <f>D30</f>
        <v>844.10295128164569</v>
      </c>
      <c r="Z31" s="301"/>
      <c r="AA31" s="275" t="s">
        <v>337</v>
      </c>
      <c r="AB31" s="314">
        <f>D24</f>
        <v>15.499108130687073</v>
      </c>
      <c r="AC31" s="301"/>
      <c r="AD31" s="101" t="s">
        <v>5</v>
      </c>
      <c r="AO31" s="87">
        <f t="shared" si="11"/>
        <v>6.6000000000000032</v>
      </c>
      <c r="AP31" s="126" t="str">
        <f t="shared" si="1"/>
        <v>0.0001-51.8750452434663i</v>
      </c>
      <c r="AQ31" s="105" t="str">
        <f t="shared" si="2"/>
        <v>0.000000001</v>
      </c>
      <c r="AR31" s="105" t="str">
        <f t="shared" si="3"/>
        <v>0.154991081306871+102.294113662535i</v>
      </c>
      <c r="AS31" s="93" t="str">
        <f t="shared" si="4"/>
        <v>9999999999+9999999i</v>
      </c>
      <c r="AU31" s="87" t="str">
        <f t="shared" si="0"/>
        <v>0.154991082306871+102.294113662535i</v>
      </c>
      <c r="AV31" s="87" t="str">
        <f t="shared" si="5"/>
        <v>526969788.582483+1022942686433.72i</v>
      </c>
      <c r="AW31" s="87" t="str">
        <f t="shared" si="6"/>
        <v>9999999999.15499+10000101.2941137i</v>
      </c>
      <c r="AX31" s="87" t="str">
        <f t="shared" si="7"/>
        <v>0.154992128708821+102.294113658317i</v>
      </c>
      <c r="AY31" s="87" t="str">
        <f t="shared" si="8"/>
        <v>0.155092128708821+50.4190684148507i</v>
      </c>
      <c r="AZ31" s="87">
        <f t="shared" si="9"/>
        <v>6.6000000000000032</v>
      </c>
      <c r="BA31" s="87">
        <f t="shared" si="10"/>
        <v>50.419306950708702</v>
      </c>
    </row>
    <row r="32" spans="2:53" ht="21" customHeight="1" x14ac:dyDescent="0.25">
      <c r="B32" s="91" t="s">
        <v>155</v>
      </c>
      <c r="D32" s="140">
        <f>D30/D31</f>
        <v>422.05147564082284</v>
      </c>
      <c r="E32" s="87" t="s">
        <v>11</v>
      </c>
      <c r="J32" s="106" t="s">
        <v>88</v>
      </c>
      <c r="K32" s="171">
        <f>1000*1000/(2*3.1415*$D$11*K31)</f>
        <v>3.8739077109156419</v>
      </c>
      <c r="L32" s="87" t="s">
        <v>134</v>
      </c>
      <c r="N32" s="124" t="s">
        <v>265</v>
      </c>
      <c r="O32" s="98">
        <v>75</v>
      </c>
      <c r="P32" s="87" t="s">
        <v>11</v>
      </c>
      <c r="X32" s="275" t="s">
        <v>332</v>
      </c>
      <c r="Y32" s="300">
        <f>ROUND(1000*1000/(2*3.1415*D11*D22),2)</f>
        <v>7.75</v>
      </c>
      <c r="Z32" s="301"/>
      <c r="AA32" s="275" t="s">
        <v>338</v>
      </c>
      <c r="AB32" s="301">
        <f>D26</f>
        <v>100</v>
      </c>
      <c r="AC32" s="301"/>
      <c r="AD32" s="101"/>
      <c r="AO32" s="87">
        <f t="shared" si="11"/>
        <v>6.8000000000000034</v>
      </c>
      <c r="AP32" s="126" t="str">
        <f t="shared" si="1"/>
        <v>0.0001-50.3493086186584i</v>
      </c>
      <c r="AQ32" s="105" t="str">
        <f t="shared" si="2"/>
        <v>0.000000001</v>
      </c>
      <c r="AR32" s="105" t="str">
        <f t="shared" si="3"/>
        <v>0.154991081306871+105.393935288672i</v>
      </c>
      <c r="AS32" s="93" t="str">
        <f t="shared" si="4"/>
        <v>9999999999+9999999i</v>
      </c>
      <c r="AU32" s="87" t="str">
        <f t="shared" si="0"/>
        <v>0.154991082306871+105.393935288672i</v>
      </c>
      <c r="AV32" s="87" t="str">
        <f t="shared" si="5"/>
        <v>495971575.420934+1053940902691.99i</v>
      </c>
      <c r="AW32" s="87" t="str">
        <f t="shared" si="6"/>
        <v>9999999999.15499+10000104.3939353i</v>
      </c>
      <c r="AX32" s="87" t="str">
        <f t="shared" si="7"/>
        <v>0.15499219308825+105.393935284294i</v>
      </c>
      <c r="AY32" s="87" t="str">
        <f t="shared" si="8"/>
        <v>0.15509219308825+55.0446266656356i</v>
      </c>
      <c r="AZ32" s="87">
        <f t="shared" si="9"/>
        <v>6.8000000000000034</v>
      </c>
      <c r="BA32" s="87">
        <f t="shared" si="10"/>
        <v>55.044845156904188</v>
      </c>
    </row>
    <row r="33" spans="2:53" ht="25.5" customHeight="1" x14ac:dyDescent="0.25">
      <c r="B33" s="125" t="s">
        <v>157</v>
      </c>
      <c r="D33" s="145">
        <f>D14/D31</f>
        <v>23.165512068128667</v>
      </c>
      <c r="E33" s="101" t="s">
        <v>12</v>
      </c>
      <c r="N33" s="220" t="s">
        <v>264</v>
      </c>
      <c r="O33" s="107">
        <v>60</v>
      </c>
      <c r="P33" s="87" t="s">
        <v>222</v>
      </c>
      <c r="X33" s="275" t="s">
        <v>333</v>
      </c>
      <c r="Y33" s="301">
        <f>D29</f>
        <v>17</v>
      </c>
      <c r="Z33" s="301"/>
      <c r="AA33" s="275" t="s">
        <v>339</v>
      </c>
      <c r="AB33" s="302">
        <f>D15</f>
        <v>108.40001751620919</v>
      </c>
      <c r="AC33" s="301"/>
      <c r="AD33" s="101" t="s">
        <v>215</v>
      </c>
      <c r="AO33" s="244">
        <f t="shared" si="11"/>
        <v>7.0000000000000036</v>
      </c>
      <c r="AP33" s="245" t="str">
        <f t="shared" si="1"/>
        <v>0.0001-48.9107569438396i</v>
      </c>
      <c r="AQ33" s="246" t="str">
        <f t="shared" si="2"/>
        <v>0.000000001</v>
      </c>
      <c r="AR33" s="246" t="str">
        <f t="shared" si="3"/>
        <v>0.154991081306871+108.49375691481i</v>
      </c>
      <c r="AS33" s="247" t="str">
        <f t="shared" si="4"/>
        <v>9999999999+9999999i</v>
      </c>
      <c r="AT33" s="244"/>
      <c r="AU33" s="244" t="str">
        <f t="shared" si="0"/>
        <v>0.154991082306871+108.49375691481i</v>
      </c>
      <c r="AV33" s="244" t="str">
        <f t="shared" si="5"/>
        <v>464973362.259376+1084939118950.27i</v>
      </c>
      <c r="AW33" s="244" t="str">
        <f t="shared" si="6"/>
        <v>9999999999.15499+10000107.4937569i</v>
      </c>
      <c r="AX33" s="244" t="str">
        <f t="shared" si="7"/>
        <v>0.154992259389457+108.493756910269i</v>
      </c>
      <c r="AY33" s="244" t="str">
        <f t="shared" si="8"/>
        <v>0.155092259389457+59.5829999664294i</v>
      </c>
      <c r="AZ33" s="244">
        <f t="shared" si="9"/>
        <v>7.0000000000000036</v>
      </c>
      <c r="BA33" s="244">
        <f t="shared" si="10"/>
        <v>59.583201815683324</v>
      </c>
    </row>
    <row r="34" spans="2:53" ht="33" x14ac:dyDescent="0.25">
      <c r="B34" s="125" t="s">
        <v>159</v>
      </c>
      <c r="D34" s="144">
        <f>1.8*D33</f>
        <v>41.697921722631598</v>
      </c>
      <c r="E34" s="101" t="s">
        <v>12</v>
      </c>
      <c r="N34" s="124" t="s">
        <v>263</v>
      </c>
      <c r="O34" s="98">
        <v>0.6</v>
      </c>
      <c r="P34" s="87" t="s">
        <v>1</v>
      </c>
      <c r="X34" s="275" t="s">
        <v>334</v>
      </c>
      <c r="Y34" s="301">
        <f>1.1*Y33</f>
        <v>18.700000000000003</v>
      </c>
      <c r="Z34" s="301"/>
      <c r="AA34" s="101"/>
      <c r="AB34" s="101"/>
      <c r="AC34" s="101"/>
      <c r="AO34" s="87">
        <f t="shared" si="11"/>
        <v>7.2000000000000037</v>
      </c>
      <c r="AP34" s="126" t="str">
        <f t="shared" si="1"/>
        <v>0.0001-47.5521248065107i</v>
      </c>
      <c r="AQ34" s="105" t="str">
        <f t="shared" si="2"/>
        <v>0.000000001</v>
      </c>
      <c r="AR34" s="105" t="str">
        <f t="shared" si="3"/>
        <v>0.154991081306871+111.593578540947i</v>
      </c>
      <c r="AS34" s="93" t="str">
        <f t="shared" si="4"/>
        <v>9999999999+9999999i</v>
      </c>
      <c r="AU34" s="87" t="str">
        <f t="shared" si="0"/>
        <v>0.154991082306871+111.593578540947i</v>
      </c>
      <c r="AV34" s="87" t="str">
        <f t="shared" si="5"/>
        <v>433975149.097827+1115937335208.54i</v>
      </c>
      <c r="AW34" s="87" t="str">
        <f t="shared" si="6"/>
        <v>9999999999.15499+10000110.5935785i</v>
      </c>
      <c r="AX34" s="87" t="str">
        <f t="shared" si="7"/>
        <v>0.154992327612441+111.593578536242i</v>
      </c>
      <c r="AY34" s="87" t="str">
        <f t="shared" si="8"/>
        <v>0.155092327612441+64.0414537297313i</v>
      </c>
      <c r="AZ34" s="87">
        <f t="shared" si="9"/>
        <v>7.2000000000000037</v>
      </c>
      <c r="BA34" s="87">
        <f t="shared" si="10"/>
        <v>64.041641526801911</v>
      </c>
    </row>
    <row r="35" spans="2:53" ht="30" customHeight="1" x14ac:dyDescent="0.25">
      <c r="B35" s="122" t="s">
        <v>30</v>
      </c>
      <c r="D35" s="145">
        <f>D14*D22/1000</f>
        <v>15.862598223413553</v>
      </c>
      <c r="E35" s="101" t="s">
        <v>1</v>
      </c>
      <c r="F35" s="100" t="s">
        <v>0</v>
      </c>
      <c r="N35" s="124" t="s">
        <v>266</v>
      </c>
      <c r="O35" s="194">
        <f>ROUND(1000*1000/(O36*2*3.1415*O33),2)</f>
        <v>552.64</v>
      </c>
      <c r="P35" s="87" t="s">
        <v>166</v>
      </c>
      <c r="AO35" s="87">
        <f t="shared" si="11"/>
        <v>7.4000000000000039</v>
      </c>
      <c r="AP35" s="126" t="str">
        <f t="shared" si="1"/>
        <v>0.0001-46.2669322441726i</v>
      </c>
      <c r="AQ35" s="105" t="str">
        <f t="shared" si="2"/>
        <v>0.000000001</v>
      </c>
      <c r="AR35" s="105" t="str">
        <f t="shared" si="3"/>
        <v>0.154991081306871+114.693400167084i</v>
      </c>
      <c r="AS35" s="93" t="str">
        <f t="shared" si="4"/>
        <v>9999999999+9999999i</v>
      </c>
      <c r="AU35" s="87" t="str">
        <f t="shared" si="0"/>
        <v>0.154991082306871+114.693400167084i</v>
      </c>
      <c r="AV35" s="87" t="str">
        <f t="shared" si="5"/>
        <v>402976935.936279+1146935551466.81i</v>
      </c>
      <c r="AW35" s="87" t="str">
        <f t="shared" si="6"/>
        <v>9999999999.15499+10000113.6934002i</v>
      </c>
      <c r="AX35" s="87" t="str">
        <f t="shared" si="7"/>
        <v>0.154992397757202+114.693400162213i</v>
      </c>
      <c r="AY35" s="87" t="str">
        <f t="shared" si="8"/>
        <v>0.155092397757202+68.4264679180404i</v>
      </c>
      <c r="AZ35" s="87">
        <f t="shared" si="9"/>
        <v>7.4000000000000039</v>
      </c>
      <c r="BA35" s="87">
        <f t="shared" si="10"/>
        <v>68.426643680590189</v>
      </c>
    </row>
    <row r="36" spans="2:53" ht="33" customHeight="1" x14ac:dyDescent="0.25">
      <c r="B36" s="122" t="s">
        <v>34</v>
      </c>
      <c r="D36" s="145">
        <f>SQRT(SUM(T78:AA78)+SUM(T84:AA84))/1000</f>
        <v>17.223634408845864</v>
      </c>
      <c r="E36" s="101" t="s">
        <v>1</v>
      </c>
      <c r="N36" s="217" t="s">
        <v>260</v>
      </c>
      <c r="O36" s="194">
        <f>O34*O34/(O32/1000)</f>
        <v>4.8</v>
      </c>
      <c r="P36" s="87" t="s">
        <v>3</v>
      </c>
      <c r="AO36" s="87">
        <f t="shared" si="11"/>
        <v>7.6000000000000041</v>
      </c>
      <c r="AP36" s="126" t="str">
        <f t="shared" si="1"/>
        <v>0.0001-45.0493813956418i</v>
      </c>
      <c r="AQ36" s="105" t="str">
        <f t="shared" si="2"/>
        <v>0.000000001</v>
      </c>
      <c r="AR36" s="105" t="str">
        <f t="shared" si="3"/>
        <v>0.154991081306871+117.793221793222i</v>
      </c>
      <c r="AS36" s="93" t="str">
        <f t="shared" si="4"/>
        <v>9999999999+9999999i</v>
      </c>
      <c r="AU36" s="87" t="str">
        <f t="shared" si="0"/>
        <v>0.154991082306871+117.793221793222i</v>
      </c>
      <c r="AV36" s="87" t="str">
        <f t="shared" si="5"/>
        <v>371978722.774721+1177933767725.09i</v>
      </c>
      <c r="AW36" s="87" t="str">
        <f t="shared" si="6"/>
        <v>9999999999.15499+10000116.7932218i</v>
      </c>
      <c r="AX36" s="87" t="str">
        <f t="shared" si="7"/>
        <v>0.15499246982374+117.793221788183i</v>
      </c>
      <c r="AY36" s="87" t="str">
        <f t="shared" si="8"/>
        <v>0.15509246982374+72.7438403925412i</v>
      </c>
      <c r="AZ36" s="87">
        <f t="shared" si="9"/>
        <v>7.6000000000000041</v>
      </c>
      <c r="BA36" s="87">
        <f t="shared" si="10"/>
        <v>72.744005723700042</v>
      </c>
    </row>
    <row r="37" spans="2:53" ht="30" customHeight="1" x14ac:dyDescent="0.25">
      <c r="B37" s="122" t="s">
        <v>35</v>
      </c>
      <c r="D37" s="145">
        <f>1.414*(SUM(D73:K73)+SUM(D79:K79))/1000</f>
        <v>31.918439863617209</v>
      </c>
      <c r="E37" s="101" t="s">
        <v>1</v>
      </c>
      <c r="N37" s="218" t="s">
        <v>223</v>
      </c>
      <c r="O37" s="89">
        <f>O32/(O34*1.73)</f>
        <v>72.25433526011561</v>
      </c>
      <c r="P37" s="195" t="s">
        <v>53</v>
      </c>
      <c r="AO37" s="87">
        <f t="shared" si="11"/>
        <v>7.8000000000000043</v>
      </c>
      <c r="AP37" s="126" t="str">
        <f t="shared" si="1"/>
        <v>0.0001-43.8942690521638i</v>
      </c>
      <c r="AQ37" s="105" t="str">
        <f t="shared" si="2"/>
        <v>0.000000001</v>
      </c>
      <c r="AR37" s="105" t="str">
        <f t="shared" si="3"/>
        <v>0.154991081306871+120.893043419359i</v>
      </c>
      <c r="AS37" s="93" t="str">
        <f t="shared" si="4"/>
        <v>9999999999+9999999i</v>
      </c>
      <c r="AU37" s="87" t="str">
        <f t="shared" si="0"/>
        <v>0.154991082306871+120.893043419359i</v>
      </c>
      <c r="AV37" s="87" t="str">
        <f t="shared" si="5"/>
        <v>340980509.613172+1208931983983.36i</v>
      </c>
      <c r="AW37" s="87" t="str">
        <f t="shared" si="6"/>
        <v>9999999999.15499+10000119.8930434i</v>
      </c>
      <c r="AX37" s="87" t="str">
        <f t="shared" si="7"/>
        <v>0.154992543812054+120.89304341415i</v>
      </c>
      <c r="AY37" s="87" t="str">
        <f t="shared" si="8"/>
        <v>0.155092543812054+76.9987743619862i</v>
      </c>
      <c r="AZ37" s="87">
        <f t="shared" si="9"/>
        <v>7.8000000000000043</v>
      </c>
      <c r="BA37" s="87">
        <f t="shared" si="10"/>
        <v>76.998930557152605</v>
      </c>
    </row>
    <row r="38" spans="2:53" ht="29.25" customHeight="1" x14ac:dyDescent="0.25">
      <c r="B38" s="122" t="s">
        <v>52</v>
      </c>
      <c r="D38" s="145">
        <f>SQRT(SUM(T79:AA79,T85:AA85))/D31</f>
        <v>54.200008758104595</v>
      </c>
      <c r="E38" s="101" t="s">
        <v>12</v>
      </c>
      <c r="N38" s="219" t="s">
        <v>261</v>
      </c>
      <c r="O38" s="90">
        <f>2*O36</f>
        <v>9.6</v>
      </c>
      <c r="P38" s="195" t="s">
        <v>3</v>
      </c>
      <c r="AO38" s="87">
        <f t="shared" si="11"/>
        <v>8.0000000000000036</v>
      </c>
      <c r="AP38" s="126" t="str">
        <f t="shared" si="1"/>
        <v>0.0001-42.7969123258597i</v>
      </c>
      <c r="AQ38" s="105" t="str">
        <f t="shared" si="2"/>
        <v>0.000000001</v>
      </c>
      <c r="AR38" s="105" t="str">
        <f t="shared" si="3"/>
        <v>0.154991081306871+123.992865045497i</v>
      </c>
      <c r="AS38" s="93" t="str">
        <f t="shared" si="4"/>
        <v>9999999999+9999999i</v>
      </c>
      <c r="AU38" s="87" t="str">
        <f t="shared" si="0"/>
        <v>0.154991082306871+123.992865045497i</v>
      </c>
      <c r="AV38" s="87" t="str">
        <f t="shared" si="5"/>
        <v>309982296.451614+1239930200241.65i</v>
      </c>
      <c r="AW38" s="87" t="str">
        <f t="shared" si="6"/>
        <v>9999999999.15499+10000122.992865i</v>
      </c>
      <c r="AX38" s="87" t="str">
        <f t="shared" si="7"/>
        <v>0.154992619722146+123.992865040116i</v>
      </c>
      <c r="AY38" s="87" t="str">
        <f t="shared" si="8"/>
        <v>0.155092619722146+81.1959527142563i</v>
      </c>
      <c r="AZ38" s="87">
        <f t="shared" si="9"/>
        <v>8.0000000000000036</v>
      </c>
      <c r="BA38" s="87">
        <f t="shared" si="10"/>
        <v>81.196100835547739</v>
      </c>
    </row>
    <row r="39" spans="2:53" ht="32.25" customHeight="1" x14ac:dyDescent="0.25">
      <c r="B39" s="82" t="s">
        <v>161</v>
      </c>
      <c r="D39" s="146">
        <f>1*(SUM(T80:AA80)+SUM(T86:AA86))</f>
        <v>1392.5648947168163</v>
      </c>
      <c r="E39" s="101" t="s">
        <v>11</v>
      </c>
      <c r="N39" s="219" t="s">
        <v>262</v>
      </c>
      <c r="O39" s="90">
        <f>ROUND(1000*1000/(O38*2*3.1415*O33),2)</f>
        <v>276.32</v>
      </c>
      <c r="AO39" s="87">
        <f t="shared" si="11"/>
        <v>8.2000000000000028</v>
      </c>
      <c r="AP39" s="126" t="str">
        <f t="shared" si="1"/>
        <v>0.0001-41.7530851959607i</v>
      </c>
      <c r="AQ39" s="105" t="str">
        <f t="shared" si="2"/>
        <v>0.000000001</v>
      </c>
      <c r="AR39" s="105" t="str">
        <f t="shared" si="3"/>
        <v>0.154991081306871+127.092686671634i</v>
      </c>
      <c r="AS39" s="93" t="str">
        <f t="shared" si="4"/>
        <v>9999999999+9999999i</v>
      </c>
      <c r="AU39" s="87" t="str">
        <f t="shared" si="0"/>
        <v>0.154991082306871+127.092686671634i</v>
      </c>
      <c r="AV39" s="87" t="str">
        <f t="shared" si="5"/>
        <v>278984083.290066+1270928416499.92i</v>
      </c>
      <c r="AW39" s="87" t="str">
        <f t="shared" si="6"/>
        <v>9999999999.15499+10000126.0926867i</v>
      </c>
      <c r="AX39" s="87" t="str">
        <f t="shared" si="7"/>
        <v>0.154992697554015+127.09268666608i</v>
      </c>
      <c r="AY39" s="87" t="str">
        <f t="shared" si="8"/>
        <v>0.155092697554015+85.3396014701193i</v>
      </c>
      <c r="AZ39" s="87">
        <f t="shared" si="9"/>
        <v>8.2000000000000028</v>
      </c>
      <c r="BA39" s="87">
        <f t="shared" si="10"/>
        <v>85.339742399562141</v>
      </c>
    </row>
    <row r="40" spans="2:53" ht="27" customHeight="1" x14ac:dyDescent="0.25">
      <c r="AO40" s="87">
        <f t="shared" si="11"/>
        <v>8.4000000000000021</v>
      </c>
      <c r="AP40" s="126" t="str">
        <f t="shared" si="1"/>
        <v>0.0001-40.7589641198664i</v>
      </c>
      <c r="AQ40" s="105" t="str">
        <f t="shared" si="2"/>
        <v>0.000000001</v>
      </c>
      <c r="AR40" s="105" t="str">
        <f t="shared" si="3"/>
        <v>0.154991081306871+130.192508297771i</v>
      </c>
      <c r="AS40" s="93" t="str">
        <f t="shared" si="4"/>
        <v>9999999999+9999999i</v>
      </c>
      <c r="AU40" s="87" t="str">
        <f t="shared" si="0"/>
        <v>0.154991082306871+130.192508297771i</v>
      </c>
      <c r="AV40" s="87" t="str">
        <f t="shared" si="5"/>
        <v>247985870.128517+1301926632758.19i</v>
      </c>
      <c r="AW40" s="87" t="str">
        <f t="shared" si="6"/>
        <v>9999999999.15499+10000129.1925083i</v>
      </c>
      <c r="AX40" s="87" t="str">
        <f t="shared" si="7"/>
        <v>0.15499277730766+130.192508292041i</v>
      </c>
      <c r="AY40" s="87" t="str">
        <f t="shared" si="8"/>
        <v>0.15509277730766+89.4335441721746i</v>
      </c>
      <c r="AZ40" s="87">
        <f t="shared" si="9"/>
        <v>8.4000000000000021</v>
      </c>
      <c r="BA40" s="87">
        <f t="shared" si="10"/>
        <v>89.433678650527852</v>
      </c>
    </row>
    <row r="41" spans="2:53" ht="21" x14ac:dyDescent="0.35">
      <c r="B41" s="117" t="s">
        <v>162</v>
      </c>
      <c r="C41" s="115"/>
      <c r="D41" s="115"/>
      <c r="E41" s="115"/>
      <c r="F41" s="115"/>
      <c r="G41" s="96"/>
      <c r="H41" s="96"/>
      <c r="I41" s="96"/>
      <c r="J41" s="96"/>
      <c r="K41" s="96"/>
      <c r="L41" s="96"/>
      <c r="AO41" s="87">
        <f t="shared" si="11"/>
        <v>8.6000000000000014</v>
      </c>
      <c r="AP41" s="126" t="str">
        <f t="shared" si="1"/>
        <v>0.0001-39.8110812333578i</v>
      </c>
      <c r="AQ41" s="105" t="str">
        <f t="shared" si="2"/>
        <v>0.000000001</v>
      </c>
      <c r="AR41" s="105" t="str">
        <f t="shared" si="3"/>
        <v>0.154991081306871+133.292329923909i</v>
      </c>
      <c r="AS41" s="93" t="str">
        <f t="shared" si="4"/>
        <v>9999999999+9999999i</v>
      </c>
      <c r="AU41" s="87" t="str">
        <f t="shared" si="0"/>
        <v>0.154991082306871+133.292329923909i</v>
      </c>
      <c r="AV41" s="87" t="str">
        <f t="shared" si="5"/>
        <v>216987656.966959+1332924849016.47i</v>
      </c>
      <c r="AW41" s="87" t="str">
        <f t="shared" si="6"/>
        <v>9999999999.15499+10000132.2923299i</v>
      </c>
      <c r="AX41" s="87" t="str">
        <f t="shared" si="7"/>
        <v>0.154992858983082+133.292329918001i</v>
      </c>
      <c r="AY41" s="87" t="str">
        <f t="shared" si="8"/>
        <v>0.155092858983082+93.4812486846432i</v>
      </c>
      <c r="AZ41" s="87">
        <f t="shared" si="9"/>
        <v>8.6000000000000014</v>
      </c>
      <c r="BA41" s="87">
        <f t="shared" si="10"/>
        <v>93.481377340275714</v>
      </c>
    </row>
    <row r="42" spans="2:53" x14ac:dyDescent="0.25">
      <c r="B42" s="221" t="s">
        <v>267</v>
      </c>
      <c r="C42" s="116"/>
      <c r="D42" s="296" t="s">
        <v>269</v>
      </c>
      <c r="E42" s="296"/>
      <c r="F42" s="296"/>
      <c r="G42" s="296"/>
      <c r="H42" s="296"/>
      <c r="I42" s="296"/>
      <c r="J42" s="97"/>
      <c r="K42" s="97"/>
      <c r="L42" s="97"/>
      <c r="AO42" s="87">
        <f t="shared" si="11"/>
        <v>8.8000000000000007</v>
      </c>
      <c r="AP42" s="126" t="str">
        <f t="shared" si="1"/>
        <v>0.0001-38.9062839325997i</v>
      </c>
      <c r="AQ42" s="105" t="str">
        <f t="shared" si="2"/>
        <v>0.000000001</v>
      </c>
      <c r="AR42" s="105" t="str">
        <f t="shared" si="3"/>
        <v>0.154991081306871+136.392151550046i</v>
      </c>
      <c r="AS42" s="93" t="str">
        <f t="shared" si="4"/>
        <v>9999999999+9999999i</v>
      </c>
      <c r="AU42" s="87" t="str">
        <f t="shared" si="0"/>
        <v>0.154991082306871+136.392151550046i</v>
      </c>
      <c r="AV42" s="87" t="str">
        <f t="shared" si="5"/>
        <v>185989443.80541+1363923065274.74i</v>
      </c>
      <c r="AW42" s="87" t="str">
        <f t="shared" si="6"/>
        <v>9999999999.15499+10000135.3921515i</v>
      </c>
      <c r="AX42" s="87" t="str">
        <f t="shared" si="7"/>
        <v>0.154992942580281+136.392151543958i</v>
      </c>
      <c r="AY42" s="87" t="str">
        <f t="shared" si="8"/>
        <v>0.155092942580281+97.4858676113583i</v>
      </c>
      <c r="AZ42" s="87">
        <f t="shared" si="9"/>
        <v>8.8000000000000007</v>
      </c>
      <c r="BA42" s="87">
        <f t="shared" si="10"/>
        <v>97.485990982089916</v>
      </c>
    </row>
    <row r="43" spans="2:53" x14ac:dyDescent="0.25">
      <c r="B43" s="221"/>
      <c r="C43" s="116"/>
      <c r="D43" s="297" t="s">
        <v>276</v>
      </c>
      <c r="E43" s="297"/>
      <c r="F43" s="227"/>
      <c r="G43" s="227"/>
      <c r="H43" s="227"/>
      <c r="I43" s="298" t="s">
        <v>278</v>
      </c>
      <c r="J43" s="298"/>
      <c r="K43" s="298"/>
      <c r="L43" s="97"/>
      <c r="AP43" s="126"/>
      <c r="AQ43" s="105"/>
      <c r="AR43" s="105"/>
      <c r="AS43" s="93"/>
    </row>
    <row r="44" spans="2:53" ht="42" customHeight="1" x14ac:dyDescent="0.25">
      <c r="B44" s="110"/>
      <c r="C44" s="110"/>
      <c r="D44" s="234" t="s">
        <v>280</v>
      </c>
      <c r="E44" s="269" t="s">
        <v>279</v>
      </c>
      <c r="F44" s="235" t="s">
        <v>275</v>
      </c>
      <c r="I44" s="234" t="s">
        <v>280</v>
      </c>
      <c r="J44" s="299" t="s">
        <v>281</v>
      </c>
      <c r="K44" s="299"/>
      <c r="L44" s="235" t="s">
        <v>277</v>
      </c>
      <c r="O44" s="143"/>
      <c r="AN44" s="154">
        <f>D29</f>
        <v>17</v>
      </c>
      <c r="AO44" s="87">
        <f>AO42+0.2</f>
        <v>9</v>
      </c>
      <c r="AP44" s="126" t="str">
        <f t="shared" si="1"/>
        <v>0.0001-38.0416998452086i</v>
      </c>
      <c r="AQ44" s="105" t="str">
        <f t="shared" si="2"/>
        <v>0.000000001</v>
      </c>
      <c r="AR44" s="105" t="str">
        <f t="shared" si="3"/>
        <v>0.154991081306871+139.491973176184i</v>
      </c>
      <c r="AS44" s="93" t="str">
        <f t="shared" si="4"/>
        <v>9999999999+9999999i</v>
      </c>
      <c r="AU44" s="87" t="str">
        <f t="shared" si="0"/>
        <v>0.154991082306871+139.491973176184i</v>
      </c>
      <c r="AV44" s="87" t="str">
        <f t="shared" si="5"/>
        <v>154991230.643852+1394921281533.02i</v>
      </c>
      <c r="AW44" s="87" t="str">
        <f t="shared" si="6"/>
        <v>9999999999.15499+10000138.4919732i</v>
      </c>
      <c r="AX44" s="87" t="str">
        <f t="shared" si="7"/>
        <v>0.154993028099258+139.491973169915i</v>
      </c>
      <c r="AY44" s="87" t="str">
        <f t="shared" si="8"/>
        <v>0.155093028099258+101.450273324706i</v>
      </c>
      <c r="AZ44" s="87">
        <f t="shared" si="9"/>
        <v>9</v>
      </c>
      <c r="BA44" s="87">
        <f t="shared" si="10"/>
        <v>101.45039187457543</v>
      </c>
    </row>
    <row r="45" spans="2:53" x14ac:dyDescent="0.25">
      <c r="B45" s="113" t="s">
        <v>271</v>
      </c>
      <c r="C45" s="110"/>
      <c r="D45" s="114">
        <f>D36/(AN44)</f>
        <v>1.0131549652262273</v>
      </c>
      <c r="E45" s="230">
        <f>SQRT(SUM(T78*1.1*1.1,U78:AA78)+SUM(T84:AA84))/1000/(AN44)</f>
        <v>1.0996920093410021</v>
      </c>
      <c r="F45" s="111">
        <f>IF(LEFT(D42,2)="SD",1.1,1.25)</f>
        <v>1.25</v>
      </c>
      <c r="H45" s="113" t="str">
        <f>"% "&amp;$L$95&amp;"HZ AMPS:"</f>
        <v>% 60HZ AMPS:</v>
      </c>
      <c r="I45" s="112">
        <f>D38/AN46</f>
        <v>2.1831463744766397</v>
      </c>
      <c r="J45" s="294">
        <f>(SQRT(SUM(T79*1.1*1.1,U79:AA79,T85:AA85))/D31)/AN46</f>
        <v>2.2246275248311544</v>
      </c>
      <c r="K45" s="294"/>
      <c r="L45" s="111">
        <v>1.35</v>
      </c>
      <c r="O45" s="143"/>
      <c r="AN45" s="154">
        <f>1.414*D29</f>
        <v>24.038</v>
      </c>
      <c r="AO45" s="87">
        <f t="shared" si="11"/>
        <v>9.1999999999999993</v>
      </c>
      <c r="AP45" s="126" t="str">
        <f t="shared" si="1"/>
        <v>0.0001-37.2147063703128i</v>
      </c>
      <c r="AQ45" s="105" t="str">
        <f t="shared" si="2"/>
        <v>0.000000001</v>
      </c>
      <c r="AR45" s="105" t="str">
        <f t="shared" si="3"/>
        <v>0.154991081306871+142.591794802321i</v>
      </c>
      <c r="AS45" s="93" t="str">
        <f t="shared" si="4"/>
        <v>9999999999+9999999i</v>
      </c>
      <c r="AU45" s="87" t="str">
        <f t="shared" si="0"/>
        <v>0.154991082306871+142.591794802321i</v>
      </c>
      <c r="AV45" s="87" t="str">
        <f t="shared" si="5"/>
        <v>123993017.482304+1425919497791.29i</v>
      </c>
      <c r="AW45" s="87" t="str">
        <f t="shared" si="6"/>
        <v>9999999999.15499+10000141.5917948i</v>
      </c>
      <c r="AX45" s="87" t="str">
        <f t="shared" si="7"/>
        <v>0.15499311554001+142.591794795868i</v>
      </c>
      <c r="AY45" s="87" t="str">
        <f t="shared" si="8"/>
        <v>0.15509311554001+105.377088425555i</v>
      </c>
      <c r="AZ45" s="87">
        <f t="shared" si="9"/>
        <v>9.1999999999999993</v>
      </c>
      <c r="BA45" s="87">
        <f t="shared" si="10"/>
        <v>105.37720255786697</v>
      </c>
    </row>
    <row r="46" spans="2:53" x14ac:dyDescent="0.25">
      <c r="B46" s="129" t="s">
        <v>272</v>
      </c>
      <c r="C46" s="130"/>
      <c r="D46" s="131">
        <f>D37/(AN45)</f>
        <v>1.3278325927122561</v>
      </c>
      <c r="E46" s="231">
        <f>D46+0.1</f>
        <v>1.4278325927122562</v>
      </c>
      <c r="F46" s="132">
        <f>IF(LEFT(D42,2)="SD",1.2,1.35)</f>
        <v>1.35</v>
      </c>
      <c r="G46" s="96"/>
      <c r="H46" s="129" t="str">
        <f>"% "&amp;$L$95&amp;"HZ KVAR:"</f>
        <v>% 60HZ KVAR:</v>
      </c>
      <c r="I46" s="134">
        <f>(SUM(T80:AA80)+SUM(T86:AA86))/AN47</f>
        <v>1.6497571683672141</v>
      </c>
      <c r="J46" s="303">
        <f>(SUM(T80*1.1*1.1,U80:AA80)+SUM(T86:AA86))/AN47</f>
        <v>1.8325967002131072</v>
      </c>
      <c r="K46" s="303"/>
      <c r="L46" s="132">
        <v>1.35</v>
      </c>
      <c r="O46" s="143"/>
      <c r="AN46" s="154">
        <f>D32/D29</f>
        <v>24.826557390636637</v>
      </c>
      <c r="AO46" s="87">
        <f t="shared" si="11"/>
        <v>9.3999999999999986</v>
      </c>
      <c r="AP46" s="126" t="str">
        <f t="shared" si="1"/>
        <v>0.0001-36.4229041071146i</v>
      </c>
      <c r="AQ46" s="105" t="str">
        <f t="shared" si="2"/>
        <v>0.000000001</v>
      </c>
      <c r="AR46" s="105" t="str">
        <f t="shared" si="3"/>
        <v>0.154991081306871+145.691616428458i</v>
      </c>
      <c r="AS46" s="93" t="str">
        <f t="shared" si="4"/>
        <v>9999999999+9999999i</v>
      </c>
      <c r="AU46" s="87" t="str">
        <f t="shared" si="0"/>
        <v>0.154991082306871+145.691616428458i</v>
      </c>
      <c r="AV46" s="87" t="str">
        <f t="shared" si="5"/>
        <v>92994804.3207555+1456917714049.56i</v>
      </c>
      <c r="AW46" s="87" t="str">
        <f t="shared" si="6"/>
        <v>9999999999.15499+10000144.6916164i</v>
      </c>
      <c r="AX46" s="87" t="str">
        <f t="shared" si="7"/>
        <v>0.15499320490254+145.69161642182i</v>
      </c>
      <c r="AY46" s="87" t="str">
        <f t="shared" si="8"/>
        <v>0.15509320490254+109.268712314705i</v>
      </c>
      <c r="AZ46" s="87">
        <f t="shared" si="9"/>
        <v>9.3999999999999986</v>
      </c>
      <c r="BA46" s="87">
        <f t="shared" si="10"/>
        <v>109.26882238230617</v>
      </c>
    </row>
    <row r="47" spans="2:53" x14ac:dyDescent="0.25">
      <c r="C47" s="110"/>
      <c r="O47" s="143"/>
      <c r="AN47" s="155">
        <f>D32*D31</f>
        <v>844.10295128164569</v>
      </c>
      <c r="AO47" s="87">
        <f t="shared" si="11"/>
        <v>9.5999999999999979</v>
      </c>
      <c r="AP47" s="126" t="str">
        <f t="shared" si="1"/>
        <v>0.0001-35.6640936048831i</v>
      </c>
      <c r="AQ47" s="105" t="str">
        <f t="shared" si="2"/>
        <v>0.000000001</v>
      </c>
      <c r="AR47" s="105" t="str">
        <f t="shared" si="3"/>
        <v>0.154991081306871+148.791438054596i</v>
      </c>
      <c r="AS47" s="93" t="str">
        <f t="shared" si="4"/>
        <v>9999999999+9999999i</v>
      </c>
      <c r="AU47" s="87" t="str">
        <f t="shared" si="0"/>
        <v>0.154991082306871+148.791438054596i</v>
      </c>
      <c r="AV47" s="87" t="str">
        <f t="shared" si="5"/>
        <v>61996591.1591971+1487915930307.84i</v>
      </c>
      <c r="AW47" s="87" t="str">
        <f t="shared" si="6"/>
        <v>9999999999.15499+10000147.7914381i</v>
      </c>
      <c r="AX47" s="87" t="str">
        <f t="shared" si="7"/>
        <v>0.154993296186848+148.79143804777i</v>
      </c>
      <c r="AY47" s="87" t="str">
        <f t="shared" si="8"/>
        <v>0.155093296186848+113.127344442887i</v>
      </c>
      <c r="AZ47" s="87">
        <f t="shared" si="9"/>
        <v>9.5999999999999979</v>
      </c>
      <c r="BA47" s="87">
        <f t="shared" si="10"/>
        <v>113.12745075634878</v>
      </c>
    </row>
    <row r="48" spans="2:53" x14ac:dyDescent="0.25">
      <c r="C48" s="110"/>
      <c r="N48" s="155"/>
      <c r="O48" s="143"/>
      <c r="AO48" s="87">
        <f t="shared" si="11"/>
        <v>9.7999999999999972</v>
      </c>
      <c r="AP48" s="126" t="str">
        <f t="shared" si="1"/>
        <v>0.0001-34.9362549598855i</v>
      </c>
      <c r="AQ48" s="105" t="str">
        <f t="shared" si="2"/>
        <v>0.000000001</v>
      </c>
      <c r="AR48" s="105" t="str">
        <f t="shared" si="3"/>
        <v>0.154991081306871+151.891259680733i</v>
      </c>
      <c r="AS48" s="93" t="str">
        <f t="shared" si="4"/>
        <v>9999999999+9999999i</v>
      </c>
      <c r="AU48" s="87" t="str">
        <f t="shared" si="0"/>
        <v>0.154991082306871+151.891259680733i</v>
      </c>
      <c r="AV48" s="87" t="str">
        <f t="shared" si="5"/>
        <v>30998377.9976487+1518914146566.11i</v>
      </c>
      <c r="AW48" s="87" t="str">
        <f t="shared" si="6"/>
        <v>9999999999.15499+10000150.8912597i</v>
      </c>
      <c r="AX48" s="87" t="str">
        <f t="shared" si="7"/>
        <v>0.154993389392931+151.891259673718i</v>
      </c>
      <c r="AY48" s="87" t="str">
        <f t="shared" si="8"/>
        <v>0.155093389392931+116.955004713832i</v>
      </c>
      <c r="AZ48" s="87">
        <f t="shared" si="9"/>
        <v>9.7999999999999972</v>
      </c>
      <c r="BA48" s="87">
        <f t="shared" si="10"/>
        <v>116.95510754803271</v>
      </c>
    </row>
    <row r="49" spans="2:53" x14ac:dyDescent="0.25">
      <c r="C49" s="110"/>
      <c r="E49" s="87" t="s">
        <v>0</v>
      </c>
      <c r="F49" s="87" t="s">
        <v>0</v>
      </c>
      <c r="G49" s="87" t="s">
        <v>0</v>
      </c>
      <c r="N49" s="155"/>
      <c r="O49" s="143"/>
      <c r="AO49" s="87">
        <f t="shared" si="11"/>
        <v>9.9999999999999964</v>
      </c>
      <c r="AP49" s="126" t="str">
        <f t="shared" si="1"/>
        <v>0.0001-34.2375298606878i</v>
      </c>
      <c r="AQ49" s="105" t="str">
        <f t="shared" si="2"/>
        <v>0.000000001</v>
      </c>
      <c r="AR49" s="105" t="str">
        <f t="shared" si="3"/>
        <v>0.154991081306871+154.991081306871i</v>
      </c>
      <c r="AS49" s="93" t="str">
        <f t="shared" si="4"/>
        <v>9999999999+9999999i</v>
      </c>
      <c r="AU49" s="87" t="str">
        <f t="shared" si="0"/>
        <v>0.154991082306871+154.991081306871i</v>
      </c>
      <c r="AV49" s="87" t="str">
        <f t="shared" si="5"/>
        <v>164.836090326309+1549912362824.39i</v>
      </c>
      <c r="AW49" s="87" t="str">
        <f t="shared" si="6"/>
        <v>9999999999.15499+10000153.9910813i</v>
      </c>
      <c r="AX49" s="87" t="str">
        <f t="shared" si="7"/>
        <v>0.154993484520791+154.991081299665i</v>
      </c>
      <c r="AY49" s="87" t="str">
        <f t="shared" si="8"/>
        <v>0.155093484520791+120.753551438977i</v>
      </c>
      <c r="AZ49" s="87">
        <f t="shared" si="9"/>
        <v>9.9999999999999964</v>
      </c>
      <c r="BA49" s="87">
        <f t="shared" si="10"/>
        <v>120.75365103844524</v>
      </c>
    </row>
    <row r="50" spans="2:53" x14ac:dyDescent="0.25">
      <c r="E50" s="87" t="s">
        <v>0</v>
      </c>
      <c r="K50" s="87" t="s">
        <v>0</v>
      </c>
      <c r="N50" s="143"/>
      <c r="O50" s="143"/>
      <c r="W50" s="311" t="s">
        <v>349</v>
      </c>
      <c r="X50" s="311"/>
      <c r="Y50" s="311"/>
      <c r="Z50" s="311"/>
      <c r="AA50" s="311"/>
      <c r="AB50" s="311"/>
      <c r="AC50" s="311"/>
      <c r="AD50" s="311"/>
      <c r="AO50" s="87">
        <f t="shared" si="11"/>
        <v>10.199999999999996</v>
      </c>
      <c r="AP50" s="126" t="str">
        <f t="shared" si="1"/>
        <v>0.0001-33.5662057457723i</v>
      </c>
      <c r="AQ50" s="105" t="str">
        <f t="shared" si="2"/>
        <v>0.000000001</v>
      </c>
      <c r="AR50" s="105" t="str">
        <f t="shared" si="3"/>
        <v>0.154991081306871+158.090902933008i</v>
      </c>
      <c r="AS50" s="93" t="str">
        <f t="shared" si="4"/>
        <v>9999999999+9999999i</v>
      </c>
      <c r="AU50" s="87" t="str">
        <f t="shared" si="0"/>
        <v>0.154991082306871+158.090902933008i</v>
      </c>
      <c r="AV50" s="87" t="str">
        <f t="shared" si="5"/>
        <v>-30998048.3254583+1580910579082.66i</v>
      </c>
      <c r="AW50" s="87" t="str">
        <f t="shared" si="6"/>
        <v>9999999999.15499+10000157.0909029i</v>
      </c>
      <c r="AX50" s="87" t="str">
        <f t="shared" si="7"/>
        <v>0.154993581570428+158.090902925609i</v>
      </c>
      <c r="AY50" s="87" t="str">
        <f t="shared" si="8"/>
        <v>0.155093581570428+124.524697179837i</v>
      </c>
      <c r="AZ50" s="87">
        <f t="shared" si="9"/>
        <v>10.199999999999996</v>
      </c>
      <c r="BA50" s="87">
        <f t="shared" si="10"/>
        <v>124.52479376312634</v>
      </c>
    </row>
    <row r="51" spans="2:53" x14ac:dyDescent="0.25">
      <c r="B51" s="91"/>
      <c r="D51" s="92"/>
      <c r="N51" s="143"/>
      <c r="O51" s="143"/>
      <c r="AO51" s="87">
        <f t="shared" si="11"/>
        <v>10.399999999999995</v>
      </c>
      <c r="AP51" s="126" t="str">
        <f t="shared" si="1"/>
        <v>0.0001-32.9207017891229i</v>
      </c>
      <c r="AQ51" s="105" t="str">
        <f t="shared" si="2"/>
        <v>0.000000001</v>
      </c>
      <c r="AR51" s="105" t="str">
        <f t="shared" si="3"/>
        <v>0.154991081306871+161.190724559145i</v>
      </c>
      <c r="AS51" s="93" t="str">
        <f t="shared" si="4"/>
        <v>9999999999+9999999i</v>
      </c>
      <c r="AU51" s="87" t="str">
        <f t="shared" si="0"/>
        <v>0.154991082306871+161.190724559145i</v>
      </c>
      <c r="AV51" s="87" t="str">
        <f t="shared" si="5"/>
        <v>-61996261.4870064+1611908795340.93i</v>
      </c>
      <c r="AW51" s="87" t="str">
        <f t="shared" si="6"/>
        <v>9999999999.15499+10000160.1907246i</v>
      </c>
      <c r="AX51" s="87" t="str">
        <f t="shared" si="7"/>
        <v>0.154993680541843+161.19072455155i</v>
      </c>
      <c r="AY51" s="87" t="str">
        <f t="shared" si="8"/>
        <v>0.155093680541843+128.270022762427i</v>
      </c>
      <c r="AZ51" s="87">
        <f t="shared" si="9"/>
        <v>10.399999999999995</v>
      </c>
      <c r="BA51" s="87">
        <f t="shared" si="10"/>
        <v>128.27011652572583</v>
      </c>
    </row>
    <row r="52" spans="2:53" x14ac:dyDescent="0.25">
      <c r="B52" s="91"/>
      <c r="D52" s="92"/>
      <c r="N52" s="143"/>
      <c r="O52" s="143"/>
      <c r="AO52" s="87">
        <f t="shared" si="11"/>
        <v>10.599999999999994</v>
      </c>
      <c r="AP52" s="126" t="str">
        <f t="shared" si="1"/>
        <v>0.0001-32.2995564723469i</v>
      </c>
      <c r="AQ52" s="105" t="str">
        <f t="shared" si="2"/>
        <v>0.000000001</v>
      </c>
      <c r="AR52" s="105" t="str">
        <f t="shared" si="3"/>
        <v>0.154991081306871+164.290546185283i</v>
      </c>
      <c r="AS52" s="93" t="str">
        <f t="shared" si="4"/>
        <v>9999999999+9999999i</v>
      </c>
      <c r="AU52" s="87" t="str">
        <f t="shared" si="0"/>
        <v>0.154991082306871+164.290546185283i</v>
      </c>
      <c r="AV52" s="87" t="str">
        <f t="shared" si="5"/>
        <v>-92994474.6485648+1642907011599.21i</v>
      </c>
      <c r="AW52" s="87" t="str">
        <f t="shared" si="6"/>
        <v>9999999999.15499+10000163.2905462i</v>
      </c>
      <c r="AX52" s="87" t="str">
        <f t="shared" si="7"/>
        <v>0.154993781435034+164.290546177491i</v>
      </c>
      <c r="AY52" s="87" t="str">
        <f t="shared" si="8"/>
        <v>0.155093781435034+131.990989705144i</v>
      </c>
      <c r="AZ52" s="87">
        <f t="shared" si="9"/>
        <v>10.599999999999994</v>
      </c>
      <c r="BA52" s="87">
        <f t="shared" si="10"/>
        <v>131.9910808252757</v>
      </c>
    </row>
    <row r="53" spans="2:53" x14ac:dyDescent="0.25">
      <c r="B53" s="91"/>
      <c r="D53" s="92"/>
      <c r="N53" s="143"/>
      <c r="O53" s="143"/>
      <c r="AO53" s="87">
        <f t="shared" si="11"/>
        <v>10.799999999999994</v>
      </c>
      <c r="AP53" s="126" t="str">
        <f t="shared" si="1"/>
        <v>0.0001-31.7014165376739i</v>
      </c>
      <c r="AQ53" s="105" t="str">
        <f t="shared" si="2"/>
        <v>0.000000001</v>
      </c>
      <c r="AR53" s="105" t="str">
        <f t="shared" si="3"/>
        <v>0.154991081306871+167.39036781142i</v>
      </c>
      <c r="AS53" s="93" t="str">
        <f t="shared" si="4"/>
        <v>9999999999+9999999i</v>
      </c>
      <c r="AU53" s="87" t="str">
        <f t="shared" si="0"/>
        <v>0.154991082306871+167.39036781142i</v>
      </c>
      <c r="AV53" s="87" t="str">
        <f t="shared" si="5"/>
        <v>-123992687.810113+1673905227857.48i</v>
      </c>
      <c r="AW53" s="87" t="str">
        <f t="shared" si="6"/>
        <v>9999999999.15499+10000166.3903678i</v>
      </c>
      <c r="AX53" s="87" t="str">
        <f t="shared" si="7"/>
        <v>0.154993884250002+167.390367803429i</v>
      </c>
      <c r="AY53" s="87" t="str">
        <f t="shared" si="8"/>
        <v>0.155093884250002+135.688951265755i</v>
      </c>
      <c r="AZ53" s="87">
        <f t="shared" si="9"/>
        <v>10.799999999999994</v>
      </c>
      <c r="BA53" s="87">
        <f t="shared" si="10"/>
        <v>135.68903990268842</v>
      </c>
    </row>
    <row r="54" spans="2:53" x14ac:dyDescent="0.25">
      <c r="B54" s="91"/>
      <c r="D54" s="92"/>
      <c r="N54" s="143"/>
      <c r="O54" s="143"/>
      <c r="AO54" s="87">
        <f t="shared" si="11"/>
        <v>10.999999999999993</v>
      </c>
      <c r="AP54" s="126" t="str">
        <f t="shared" si="1"/>
        <v>0.0001-31.1250271460798i</v>
      </c>
      <c r="AQ54" s="105" t="str">
        <f t="shared" si="2"/>
        <v>0.000000001</v>
      </c>
      <c r="AR54" s="105" t="str">
        <f t="shared" si="3"/>
        <v>0.154991081306871+170.490189437558i</v>
      </c>
      <c r="AS54" s="93" t="str">
        <f t="shared" si="4"/>
        <v>9999999999+9999999i</v>
      </c>
      <c r="AU54" s="87" t="str">
        <f t="shared" si="0"/>
        <v>0.154991082306871+170.490189437558i</v>
      </c>
      <c r="AV54" s="87" t="str">
        <f t="shared" si="5"/>
        <v>-154990900.971672+1704903444115.76i</v>
      </c>
      <c r="AW54" s="87" t="str">
        <f t="shared" si="6"/>
        <v>9999999999.15499+10000169.4901894i</v>
      </c>
      <c r="AX54" s="87" t="str">
        <f t="shared" si="7"/>
        <v>0.154993988986746+170.490189429367i</v>
      </c>
      <c r="AY54" s="87" t="str">
        <f t="shared" si="8"/>
        <v>0.155093988986746+139.365162283287i</v>
      </c>
      <c r="AZ54" s="87">
        <f t="shared" si="9"/>
        <v>10.999999999999993</v>
      </c>
      <c r="BA54" s="87">
        <f t="shared" si="10"/>
        <v>139.36524858225002</v>
      </c>
    </row>
    <row r="55" spans="2:53" x14ac:dyDescent="0.25">
      <c r="N55" s="143"/>
      <c r="O55" s="143"/>
      <c r="AO55" s="87">
        <f t="shared" si="11"/>
        <v>11.199999999999992</v>
      </c>
      <c r="AP55" s="126" t="str">
        <f t="shared" si="1"/>
        <v>0.0001-30.5692230898998i</v>
      </c>
      <c r="AQ55" s="105" t="str">
        <f t="shared" si="2"/>
        <v>0.000000001</v>
      </c>
      <c r="AR55" s="105" t="str">
        <f t="shared" si="3"/>
        <v>0.154991081306871+173.590011063695i</v>
      </c>
      <c r="AS55" s="93" t="str">
        <f t="shared" si="4"/>
        <v>9999999999+9999999i</v>
      </c>
      <c r="AU55" s="87" t="str">
        <f t="shared" si="0"/>
        <v>0.154991082306871+173.590011063695i</v>
      </c>
      <c r="AV55" s="87" t="str">
        <f t="shared" si="5"/>
        <v>-185989114.13322+1735901660374.03i</v>
      </c>
      <c r="AW55" s="87" t="str">
        <f t="shared" si="6"/>
        <v>9999999999.15499+10000172.5900111i</v>
      </c>
      <c r="AX55" s="87" t="str">
        <f t="shared" si="7"/>
        <v>0.15499409564527+173.590011055301i</v>
      </c>
      <c r="AY55" s="87" t="str">
        <f t="shared" si="8"/>
        <v>0.15509409564527+143.020787965401i</v>
      </c>
      <c r="AZ55" s="87">
        <f t="shared" si="9"/>
        <v>11.199999999999992</v>
      </c>
      <c r="BA55" s="87">
        <f t="shared" si="10"/>
        <v>143.02087205867088</v>
      </c>
    </row>
    <row r="56" spans="2:53" x14ac:dyDescent="0.25">
      <c r="N56" s="143"/>
      <c r="O56" s="143"/>
      <c r="AO56" s="87">
        <f t="shared" si="11"/>
        <v>11.399999999999991</v>
      </c>
      <c r="AP56" s="126" t="str">
        <f t="shared" si="1"/>
        <v>0.0001-30.0329209304279i</v>
      </c>
      <c r="AQ56" s="105" t="str">
        <f t="shared" si="2"/>
        <v>0.000000001</v>
      </c>
      <c r="AR56" s="105" t="str">
        <f t="shared" si="3"/>
        <v>0.154991081306871+176.689832689833i</v>
      </c>
      <c r="AS56" s="93" t="str">
        <f t="shared" si="4"/>
        <v>9999999999+9999999i</v>
      </c>
      <c r="AU56" s="87" t="str">
        <f t="shared" si="0"/>
        <v>0.154991082306871+176.689832689833i</v>
      </c>
      <c r="AV56" s="87" t="str">
        <f t="shared" si="5"/>
        <v>-216987327.294778+1766899876632.31i</v>
      </c>
      <c r="AW56" s="87" t="str">
        <f t="shared" si="6"/>
        <v>9999999999.15499+10000175.6898327i</v>
      </c>
      <c r="AX56" s="87" t="str">
        <f t="shared" si="7"/>
        <v>0.154994204225568+176.689832681234i</v>
      </c>
      <c r="AY56" s="87" t="str">
        <f t="shared" si="8"/>
        <v>0.155094204225568+146.656911750806i</v>
      </c>
      <c r="AZ56" s="87">
        <f t="shared" si="9"/>
        <v>11.399999999999991</v>
      </c>
      <c r="BA56" s="87">
        <f t="shared" si="10"/>
        <v>146.65699375923359</v>
      </c>
    </row>
    <row r="57" spans="2:53" x14ac:dyDescent="0.25">
      <c r="N57" s="143"/>
      <c r="O57" s="143"/>
      <c r="AO57" s="87">
        <f t="shared" si="11"/>
        <v>11.599999999999991</v>
      </c>
      <c r="AP57" s="126" t="str">
        <f t="shared" si="1"/>
        <v>0.0001-29.5151119488688i</v>
      </c>
      <c r="AQ57" s="105" t="str">
        <f t="shared" si="2"/>
        <v>0.000000001</v>
      </c>
      <c r="AR57" s="105" t="str">
        <f t="shared" si="3"/>
        <v>0.154991081306871+179.78965431597i</v>
      </c>
      <c r="AS57" s="93" t="str">
        <f t="shared" si="4"/>
        <v>9999999999+9999999i</v>
      </c>
      <c r="AU57" s="87" t="str">
        <f t="shared" si="0"/>
        <v>0.154991082306871+179.78965431597i</v>
      </c>
      <c r="AV57" s="87" t="str">
        <f t="shared" si="5"/>
        <v>-247985540.456327+1797898092890.58i</v>
      </c>
      <c r="AW57" s="87" t="str">
        <f t="shared" si="6"/>
        <v>9999999999.15499+10000178.7896543i</v>
      </c>
      <c r="AX57" s="87" t="str">
        <f t="shared" si="7"/>
        <v>0.154994314727643+179.789654307165i</v>
      </c>
      <c r="AY57" s="87" t="str">
        <f t="shared" si="8"/>
        <v>0.155094314727643+150.274542358296i</v>
      </c>
      <c r="AZ57" s="87">
        <f t="shared" si="9"/>
        <v>11.599999999999991</v>
      </c>
      <c r="BA57" s="87">
        <f t="shared" si="10"/>
        <v>150.27462239261078</v>
      </c>
    </row>
    <row r="58" spans="2:53" x14ac:dyDescent="0.25">
      <c r="N58" s="143"/>
      <c r="O58" s="143"/>
      <c r="AO58" s="87">
        <f t="shared" si="11"/>
        <v>11.79999999999999</v>
      </c>
      <c r="AP58" s="126" t="str">
        <f t="shared" si="1"/>
        <v>0.0001-29.0148558141422i</v>
      </c>
      <c r="AQ58" s="105" t="str">
        <f t="shared" si="2"/>
        <v>0.000000001</v>
      </c>
      <c r="AR58" s="105" t="str">
        <f t="shared" si="3"/>
        <v>0.154991081306871+182.889475942107i</v>
      </c>
      <c r="AS58" s="93" t="str">
        <f t="shared" si="4"/>
        <v>9999999999+9999999i</v>
      </c>
      <c r="AU58" s="87" t="str">
        <f t="shared" si="0"/>
        <v>0.154991082306871+182.889475942107i</v>
      </c>
      <c r="AV58" s="87" t="str">
        <f t="shared" si="5"/>
        <v>-278983753.617875+1828896309148.85i</v>
      </c>
      <c r="AW58" s="87" t="str">
        <f t="shared" si="6"/>
        <v>9999999999.15499+10000181.8894759i</v>
      </c>
      <c r="AX58" s="87" t="str">
        <f t="shared" si="7"/>
        <v>0.154994427151495+182.889475933093i</v>
      </c>
      <c r="AY58" s="87" t="str">
        <f t="shared" si="8"/>
        <v>0.155094427151495+153.874620118951i</v>
      </c>
      <c r="AZ58" s="87">
        <f t="shared" si="9"/>
        <v>11.79999999999999</v>
      </c>
      <c r="BA58" s="87">
        <f t="shared" si="10"/>
        <v>153.87469828088311</v>
      </c>
    </row>
    <row r="59" spans="2:53" x14ac:dyDescent="0.25">
      <c r="N59" s="143"/>
      <c r="O59" s="143"/>
      <c r="AO59" s="87">
        <f t="shared" si="11"/>
        <v>11.999999999999989</v>
      </c>
      <c r="AP59" s="126" t="str">
        <f t="shared" si="1"/>
        <v>0.0001-28.5312748839065i</v>
      </c>
      <c r="AQ59" s="105" t="str">
        <f t="shared" si="2"/>
        <v>0.000000001</v>
      </c>
      <c r="AR59" s="105" t="str">
        <f t="shared" si="3"/>
        <v>0.154991081306871+185.989297568245i</v>
      </c>
      <c r="AS59" s="93" t="str">
        <f t="shared" si="4"/>
        <v>9999999999+9999999i</v>
      </c>
      <c r="AU59" s="87" t="str">
        <f t="shared" si="0"/>
        <v>0.154991082306871+185.989297568245i</v>
      </c>
      <c r="AV59" s="87" t="str">
        <f t="shared" si="5"/>
        <v>-309981966.779433+1859894525407.13i</v>
      </c>
      <c r="AW59" s="87" t="str">
        <f t="shared" si="6"/>
        <v>9999999999.15499+10000184.9892976i</v>
      </c>
      <c r="AX59" s="87" t="str">
        <f t="shared" si="7"/>
        <v>0.154994541497126+185.989297559021i</v>
      </c>
      <c r="AY59" s="87" t="str">
        <f t="shared" si="8"/>
        <v>0.155094541497126+157.458022675115i</v>
      </c>
      <c r="AZ59" s="87">
        <f t="shared" si="9"/>
        <v>11.999999999999989</v>
      </c>
      <c r="BA59" s="87">
        <f t="shared" si="10"/>
        <v>157.45809905836484</v>
      </c>
    </row>
    <row r="60" spans="2:53" ht="34.5" customHeight="1" x14ac:dyDescent="0.25">
      <c r="B60" s="109"/>
      <c r="C60" s="101"/>
      <c r="D60" s="108"/>
      <c r="E60" s="101"/>
      <c r="AO60" s="87">
        <f t="shared" si="11"/>
        <v>12.199999999999989</v>
      </c>
      <c r="AP60" s="126" t="str">
        <f t="shared" si="1"/>
        <v>0.0001-28.0635490661375i</v>
      </c>
      <c r="AQ60" s="105" t="str">
        <f t="shared" si="2"/>
        <v>0.000000001</v>
      </c>
      <c r="AR60" s="105" t="str">
        <f t="shared" si="3"/>
        <v>0.154991081306871+189.089119194382i</v>
      </c>
      <c r="AS60" s="93" t="str">
        <f t="shared" si="4"/>
        <v>9999999999+9999999i</v>
      </c>
      <c r="AU60" s="87" t="str">
        <f t="shared" si="0"/>
        <v>0.154991082306871+189.089119194382i</v>
      </c>
      <c r="AV60" s="87" t="str">
        <f t="shared" si="5"/>
        <v>-340980179.940982+1890892741665.4i</v>
      </c>
      <c r="AW60" s="87" t="str">
        <f t="shared" si="6"/>
        <v>9999999999.15499+10000188.0891192i</v>
      </c>
      <c r="AX60" s="87" t="str">
        <f t="shared" si="7"/>
        <v>0.154994657764532+189.089119184945i</v>
      </c>
      <c r="AY60" s="87" t="str">
        <f t="shared" si="8"/>
        <v>0.155094657764532+161.025570118807i</v>
      </c>
      <c r="AZ60" s="87">
        <f t="shared" si="9"/>
        <v>12.199999999999989</v>
      </c>
      <c r="BA60" s="87">
        <f t="shared" si="10"/>
        <v>161.02564480988642</v>
      </c>
    </row>
    <row r="61" spans="2:53" ht="36" customHeight="1" x14ac:dyDescent="0.55000000000000004">
      <c r="B61" s="118" t="s">
        <v>45</v>
      </c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AO61" s="87">
        <f t="shared" si="11"/>
        <v>12.399999999999988</v>
      </c>
      <c r="AP61" s="126" t="str">
        <f t="shared" si="1"/>
        <v>0.0001-27.610911177974i</v>
      </c>
      <c r="AQ61" s="105" t="str">
        <f t="shared" si="2"/>
        <v>0.000000001</v>
      </c>
      <c r="AR61" s="105" t="str">
        <f t="shared" si="3"/>
        <v>0.154991081306871+192.18894082052i</v>
      </c>
      <c r="AS61" s="93" t="str">
        <f t="shared" si="4"/>
        <v>9999999999+9999999i</v>
      </c>
      <c r="AU61" s="87" t="str">
        <f t="shared" si="0"/>
        <v>0.154991082306871+192.18894082052i</v>
      </c>
      <c r="AV61" s="87" t="str">
        <f t="shared" si="5"/>
        <v>-371978393.10254+1921890957923.68i</v>
      </c>
      <c r="AW61" s="87" t="str">
        <f t="shared" si="6"/>
        <v>9999999999.15499+10000191.1889408i</v>
      </c>
      <c r="AX61" s="87" t="str">
        <f t="shared" si="7"/>
        <v>0.154994775953715+192.188940810869i</v>
      </c>
      <c r="AY61" s="87" t="str">
        <f t="shared" si="8"/>
        <v>0.155094775953715+164.578029632895i</v>
      </c>
      <c r="AZ61" s="87">
        <f t="shared" si="9"/>
        <v>12.399999999999988</v>
      </c>
      <c r="BA61" s="87">
        <f t="shared" si="10"/>
        <v>164.5781027118602</v>
      </c>
    </row>
    <row r="62" spans="2:53" ht="19.5" customHeight="1" x14ac:dyDescent="0.4">
      <c r="B62" s="175" t="str">
        <f>"Notch Filter Design - Stage/Branch: "&amp;I9&amp;", Tuning Point: "&amp;FIXED(D10,2)&amp;", Reference: "&amp;I8</f>
        <v>Notch Filter Design - Stage/Branch: Branch/Stage #, Tuning Point: 4.70, Reference: Enter Job Name</v>
      </c>
      <c r="C62" s="120"/>
      <c r="D62" s="120"/>
      <c r="E62" s="120"/>
      <c r="F62" s="120"/>
      <c r="G62" s="174"/>
      <c r="H62" s="174"/>
      <c r="I62" s="174"/>
      <c r="J62" s="174"/>
      <c r="K62" s="174"/>
      <c r="L62" s="272" t="s">
        <v>171</v>
      </c>
      <c r="AO62" s="87">
        <f t="shared" si="11"/>
        <v>12.599999999999987</v>
      </c>
      <c r="AP62" s="126" t="str">
        <f t="shared" si="1"/>
        <v>0.0001-27.1726427465776i</v>
      </c>
      <c r="AQ62" s="105" t="str">
        <f t="shared" si="2"/>
        <v>0.000000001</v>
      </c>
      <c r="AR62" s="105" t="str">
        <f t="shared" si="3"/>
        <v>0.154991081306871+195.288762446657i</v>
      </c>
      <c r="AS62" s="93" t="str">
        <f t="shared" si="4"/>
        <v>9999999999+9999999i</v>
      </c>
      <c r="AU62" s="87" t="str">
        <f t="shared" si="0"/>
        <v>0.154991082306871+195.288762446657i</v>
      </c>
      <c r="AV62" s="87" t="str">
        <f t="shared" si="5"/>
        <v>-402976606.264088+1952889174181.95i</v>
      </c>
      <c r="AW62" s="87" t="str">
        <f t="shared" si="6"/>
        <v>9999999999.15499+10000194.2887624i</v>
      </c>
      <c r="AX62" s="87" t="str">
        <f t="shared" si="7"/>
        <v>0.154994896064675+195.28876243679i</v>
      </c>
      <c r="AY62" s="87" t="str">
        <f t="shared" si="8"/>
        <v>0.155094896064675+168.116119690212i</v>
      </c>
      <c r="AZ62" s="87">
        <f t="shared" si="9"/>
        <v>12.599999999999987</v>
      </c>
      <c r="BA62" s="87">
        <f t="shared" si="10"/>
        <v>168.1161912313043</v>
      </c>
    </row>
    <row r="63" spans="2:53" x14ac:dyDescent="0.25">
      <c r="N63" s="143"/>
      <c r="O63" s="143"/>
      <c r="AO63" s="87">
        <f t="shared" si="11"/>
        <v>12.799999999999986</v>
      </c>
      <c r="AP63" s="126" t="str">
        <f t="shared" si="1"/>
        <v>0.0001-26.7480702036623i</v>
      </c>
      <c r="AQ63" s="105" t="str">
        <f t="shared" si="2"/>
        <v>0.000000001</v>
      </c>
      <c r="AR63" s="105" t="str">
        <f t="shared" si="3"/>
        <v>0.154991081306871+198.388584072794i</v>
      </c>
      <c r="AS63" s="93" t="str">
        <f t="shared" si="4"/>
        <v>9999999999+9999999i</v>
      </c>
      <c r="AU63" s="87" t="str">
        <f t="shared" si="0"/>
        <v>0.154991082306871+198.388584072794i</v>
      </c>
      <c r="AV63" s="87" t="str">
        <f t="shared" si="5"/>
        <v>-433974819.425637+1983887390440.22i</v>
      </c>
      <c r="AW63" s="87" t="str">
        <f t="shared" si="6"/>
        <v>9999999999.15499+10000197.3885841i</v>
      </c>
      <c r="AX63" s="87" t="str">
        <f t="shared" si="7"/>
        <v>0.154995018097413+198.388584062709i</v>
      </c>
      <c r="AY63" s="87" t="str">
        <f t="shared" si="8"/>
        <v>0.155095018097413+171.640513859047i</v>
      </c>
      <c r="AZ63" s="87">
        <f t="shared" si="9"/>
        <v>12.799999999999986</v>
      </c>
      <c r="BA63" s="87">
        <f t="shared" si="10"/>
        <v>171.64058393125546</v>
      </c>
    </row>
    <row r="64" spans="2:53" x14ac:dyDescent="0.25">
      <c r="N64" s="143"/>
      <c r="O64" s="143"/>
      <c r="AO64" s="87">
        <f t="shared" si="11"/>
        <v>12.999999999999986</v>
      </c>
      <c r="AP64" s="126" t="str">
        <f t="shared" si="1"/>
        <v>0.0001-26.3365614312983i</v>
      </c>
      <c r="AQ64" s="105" t="str">
        <f t="shared" si="2"/>
        <v>0.000000001</v>
      </c>
      <c r="AR64" s="105" t="str">
        <f t="shared" si="3"/>
        <v>0.154991081306871+201.488405698932i</v>
      </c>
      <c r="AS64" s="93" t="str">
        <f t="shared" si="4"/>
        <v>9999999999+9999999i</v>
      </c>
      <c r="AU64" s="87" t="str">
        <f t="shared" si="0"/>
        <v>0.154991082306871+201.488405698932i</v>
      </c>
      <c r="AV64" s="87" t="str">
        <f t="shared" si="5"/>
        <v>-464973032.587195+2014885606698.5i</v>
      </c>
      <c r="AW64" s="87" t="str">
        <f t="shared" si="6"/>
        <v>9999999999.15499+10000200.4884057i</v>
      </c>
      <c r="AX64" s="87" t="str">
        <f t="shared" si="7"/>
        <v>0.154995142051927+201.488405688626i</v>
      </c>
      <c r="AY64" s="87" t="str">
        <f t="shared" si="8"/>
        <v>0.155095142051927+175.151844257328i</v>
      </c>
      <c r="AZ64" s="87">
        <f t="shared" si="9"/>
        <v>12.999999999999986</v>
      </c>
      <c r="BA64" s="87">
        <f t="shared" si="10"/>
        <v>175.15191292488461</v>
      </c>
    </row>
    <row r="65" spans="2:53" x14ac:dyDescent="0.25">
      <c r="N65" s="143"/>
      <c r="O65" s="143"/>
      <c r="AO65" s="87">
        <f t="shared" si="11"/>
        <v>13.199999999999985</v>
      </c>
      <c r="AP65" s="126" t="str">
        <f t="shared" si="1"/>
        <v>0.0001-25.9375226217332i</v>
      </c>
      <c r="AQ65" s="105" t="str">
        <f t="shared" si="2"/>
        <v>0.000000001</v>
      </c>
      <c r="AR65" s="105" t="str">
        <f t="shared" si="3"/>
        <v>0.154991081306871+204.588227325069i</v>
      </c>
      <c r="AS65" s="93" t="str">
        <f t="shared" si="4"/>
        <v>9999999999+9999999i</v>
      </c>
      <c r="AU65" s="87" t="str">
        <f t="shared" si="0"/>
        <v>0.154991082306871+204.588227325069i</v>
      </c>
      <c r="AV65" s="87" t="str">
        <f t="shared" si="5"/>
        <v>-495971245.748744+2045883822956.77i</v>
      </c>
      <c r="AW65" s="87" t="str">
        <f t="shared" si="6"/>
        <v>9999999999.15499+10000203.5882273i</v>
      </c>
      <c r="AX65" s="87" t="str">
        <f t="shared" si="7"/>
        <v>0.154995267928217+204.588227314542i</v>
      </c>
      <c r="AY65" s="87" t="str">
        <f t="shared" si="8"/>
        <v>0.155095267928217+178.650704692809i</v>
      </c>
      <c r="AZ65" s="87">
        <f t="shared" si="9"/>
        <v>13.199999999999985</v>
      </c>
      <c r="BA65" s="87">
        <f t="shared" si="10"/>
        <v>178.65077201562659</v>
      </c>
    </row>
    <row r="66" spans="2:53" x14ac:dyDescent="0.25">
      <c r="B66" s="91"/>
      <c r="D66" s="94"/>
      <c r="E66" s="94"/>
      <c r="F66" s="94"/>
      <c r="G66" s="94"/>
      <c r="H66" s="94"/>
      <c r="I66" s="94"/>
      <c r="J66" s="94"/>
      <c r="K66" s="94"/>
      <c r="N66" s="143"/>
      <c r="O66" s="143"/>
      <c r="AO66" s="87">
        <f t="shared" si="11"/>
        <v>13.399999999999984</v>
      </c>
      <c r="AP66" s="126" t="str">
        <f t="shared" si="1"/>
        <v>0.0001-25.5503954184237i</v>
      </c>
      <c r="AQ66" s="105" t="str">
        <f t="shared" si="2"/>
        <v>0.000000001</v>
      </c>
      <c r="AR66" s="105" t="str">
        <f t="shared" si="3"/>
        <v>0.154991081306871+207.688048951207i</v>
      </c>
      <c r="AS66" s="93" t="str">
        <f t="shared" si="4"/>
        <v>9999999999+9999999i</v>
      </c>
      <c r="AU66" s="87" t="str">
        <f t="shared" si="0"/>
        <v>0.154991082306871+207.688048951207i</v>
      </c>
      <c r="AV66" s="87" t="str">
        <f t="shared" si="5"/>
        <v>-526969458.910302+2076882039215.05i</v>
      </c>
      <c r="AW66" s="87" t="str">
        <f t="shared" si="6"/>
        <v>9999999999.15499+10000206.688049i</v>
      </c>
      <c r="AX66" s="87" t="str">
        <f t="shared" si="7"/>
        <v>0.154995395726286+207.688048940456i</v>
      </c>
      <c r="AY66" s="87" t="str">
        <f t="shared" si="8"/>
        <v>0.155095395726286+182.137653522032i</v>
      </c>
      <c r="AZ66" s="87">
        <f t="shared" si="9"/>
        <v>13.399999999999984</v>
      </c>
      <c r="BA66" s="87">
        <f t="shared" si="10"/>
        <v>182.13771955609184</v>
      </c>
    </row>
    <row r="67" spans="2:53" x14ac:dyDescent="0.25">
      <c r="F67" s="94"/>
      <c r="G67" s="94"/>
      <c r="H67" s="94"/>
      <c r="I67" s="94"/>
      <c r="J67" s="94"/>
      <c r="K67" s="94"/>
      <c r="N67" s="143"/>
      <c r="O67" s="143"/>
      <c r="AO67" s="87">
        <f t="shared" si="11"/>
        <v>13.599999999999984</v>
      </c>
      <c r="AP67" s="126" t="str">
        <f t="shared" si="1"/>
        <v>0.0001-25.1746543093293i</v>
      </c>
      <c r="AQ67" s="105" t="str">
        <f t="shared" si="2"/>
        <v>0.000000001</v>
      </c>
      <c r="AR67" s="105" t="str">
        <f t="shared" si="3"/>
        <v>0.154991081306871+210.787870577344i</v>
      </c>
      <c r="AS67" s="93" t="str">
        <f t="shared" si="4"/>
        <v>9999999999+9999999i</v>
      </c>
      <c r="AU67" s="87" t="str">
        <f t="shared" si="0"/>
        <v>0.154991082306871+210.787870577344i</v>
      </c>
      <c r="AV67" s="87" t="str">
        <f t="shared" si="5"/>
        <v>-557967672.071851+2107880255473.32i</v>
      </c>
      <c r="AW67" s="87" t="str">
        <f t="shared" si="6"/>
        <v>9999999999.15499+10000209.7878706i</v>
      </c>
      <c r="AX67" s="87" t="str">
        <f t="shared" si="7"/>
        <v>0.15499552544613+210.787870566367i</v>
      </c>
      <c r="AY67" s="87" t="str">
        <f t="shared" si="8"/>
        <v>0.15509552544613+185.613216257038i</v>
      </c>
      <c r="AZ67" s="87">
        <f t="shared" si="9"/>
        <v>13.599999999999984</v>
      </c>
      <c r="BA67" s="87">
        <f t="shared" si="10"/>
        <v>185.61328105473478</v>
      </c>
    </row>
    <row r="68" spans="2:53" x14ac:dyDescent="0.25">
      <c r="AN68" s="87" t="s">
        <v>0</v>
      </c>
      <c r="AO68" s="87">
        <f t="shared" si="11"/>
        <v>13.799999999999983</v>
      </c>
      <c r="AP68" s="126" t="str">
        <f t="shared" si="1"/>
        <v>0.0001-24.8098042468752i</v>
      </c>
      <c r="AQ68" s="105" t="str">
        <f t="shared" si="2"/>
        <v>0.000000001</v>
      </c>
      <c r="AR68" s="105" t="str">
        <f t="shared" si="3"/>
        <v>0.154991081306871+213.887692203481i</v>
      </c>
      <c r="AS68" s="93" t="str">
        <f t="shared" si="4"/>
        <v>9999999999+9999999i</v>
      </c>
      <c r="AU68" s="87" t="str">
        <f t="shared" ref="AU68:AU131" si="12">IMSUM(AR68,AQ68)</f>
        <v>0.154991082306871+213.887692203481i</v>
      </c>
      <c r="AV68" s="87" t="str">
        <f t="shared" si="5"/>
        <v>-588965885.233399+2138878471731.59i</v>
      </c>
      <c r="AW68" s="87" t="str">
        <f t="shared" si="6"/>
        <v>9999999999.15499+10000212.8876922i</v>
      </c>
      <c r="AX68" s="87" t="str">
        <f t="shared" si="7"/>
        <v>0.154995657087751+213.887692192276i</v>
      </c>
      <c r="AY68" s="87" t="str">
        <f t="shared" si="8"/>
        <v>0.155095657087751+189.077887945401i</v>
      </c>
      <c r="AZ68" s="87">
        <f t="shared" si="9"/>
        <v>13.799999999999983</v>
      </c>
      <c r="BA68" s="87">
        <f t="shared" si="10"/>
        <v>189.07795155585026</v>
      </c>
    </row>
    <row r="69" spans="2:53" x14ac:dyDescent="0.25">
      <c r="AO69" s="87">
        <f t="shared" ref="AO69:AO132" si="13">AO68+0.2</f>
        <v>13.999999999999982</v>
      </c>
      <c r="AP69" s="126" t="str">
        <f t="shared" ref="AP69:AP132" si="14">COMPLEX(0.0001,-1*$D$22/AO69)</f>
        <v>0.0001-24.4553784719199i</v>
      </c>
      <c r="AQ69" s="105" t="str">
        <f t="shared" ref="AQ69:AQ132" si="15">COMPLEX(0.000000001,-1*$D$23/AO69)</f>
        <v>0.000000001</v>
      </c>
      <c r="AR69" s="105" t="str">
        <f t="shared" ref="AR69:AR132" si="16">COMPLEX($D$24/$D$26,$D$24*AO69)</f>
        <v>0.154991081306871+216.987513829619i</v>
      </c>
      <c r="AS69" s="93" t="str">
        <f t="shared" ref="AS69:AS132" si="17">COMPLEX(9999999999,9999999)</f>
        <v>9999999999+9999999i</v>
      </c>
      <c r="AU69" s="87" t="str">
        <f t="shared" si="12"/>
        <v>0.154991082306871+216.987513829619i</v>
      </c>
      <c r="AV69" s="87" t="str">
        <f t="shared" ref="AV69:AV132" si="18">IMPRODUCT(AU69,AS69)</f>
        <v>-619964098.394957+2169876687989.87i</v>
      </c>
      <c r="AW69" s="87" t="str">
        <f t="shared" ref="AW69:AW132" si="19">IMSUM(AS69,AU69)</f>
        <v>9999999999.15499+10000215.9875138i</v>
      </c>
      <c r="AX69" s="87" t="str">
        <f t="shared" ref="AX69:AX132" si="20">IMDIV(AV69,AW69)</f>
        <v>0.154995790651149+216.987513818184i</v>
      </c>
      <c r="AY69" s="87" t="str">
        <f t="shared" ref="AY69:AY132" si="21">IMSUM(AX69,AP69)</f>
        <v>0.155095790651149+192.532135346264i</v>
      </c>
      <c r="AZ69" s="87">
        <f t="shared" ref="AZ69:AZ132" si="22">AO69</f>
        <v>13.999999999999982</v>
      </c>
      <c r="BA69" s="87">
        <f t="shared" ref="BA69:BA132" si="23">IMABS(AY69)</f>
        <v>192.53219781557678</v>
      </c>
    </row>
    <row r="70" spans="2:53" x14ac:dyDescent="0.25">
      <c r="D70" s="304" t="s">
        <v>224</v>
      </c>
      <c r="E70" s="305"/>
      <c r="F70" s="305"/>
      <c r="G70" s="305"/>
      <c r="H70" s="305"/>
      <c r="I70" s="305"/>
      <c r="J70" s="305"/>
      <c r="K70" s="306"/>
      <c r="AO70" s="87">
        <f t="shared" si="13"/>
        <v>14.199999999999982</v>
      </c>
      <c r="AP70" s="126" t="str">
        <f t="shared" si="14"/>
        <v>0.0001-24.1109365216111i</v>
      </c>
      <c r="AQ70" s="105" t="str">
        <f t="shared" si="15"/>
        <v>0.000000001</v>
      </c>
      <c r="AR70" s="105" t="str">
        <f t="shared" si="16"/>
        <v>0.154991081306871+220.087335455756i</v>
      </c>
      <c r="AS70" s="93" t="str">
        <f t="shared" si="17"/>
        <v>9999999999+9999999i</v>
      </c>
      <c r="AU70" s="87" t="str">
        <f t="shared" si="12"/>
        <v>0.154991082306871+220.087335455756i</v>
      </c>
      <c r="AV70" s="87" t="str">
        <f t="shared" si="18"/>
        <v>-650962311.556505+2200874904248.14i</v>
      </c>
      <c r="AW70" s="87" t="str">
        <f t="shared" si="19"/>
        <v>9999999999.15499+10000219.0873355i</v>
      </c>
      <c r="AX70" s="87" t="str">
        <f t="shared" si="20"/>
        <v>0.154995926136327+220.08733544409i</v>
      </c>
      <c r="AY70" s="87" t="str">
        <f t="shared" si="21"/>
        <v>0.155095926136327+195.976398922479i</v>
      </c>
      <c r="AZ70" s="87">
        <f t="shared" si="22"/>
        <v>14.199999999999982</v>
      </c>
      <c r="BA70" s="87">
        <f t="shared" si="23"/>
        <v>195.97646029400809</v>
      </c>
    </row>
    <row r="71" spans="2:53" x14ac:dyDescent="0.25">
      <c r="B71" s="91" t="s">
        <v>31</v>
      </c>
      <c r="D71" s="90">
        <v>1</v>
      </c>
      <c r="E71" s="98">
        <v>3</v>
      </c>
      <c r="F71" s="98">
        <v>5</v>
      </c>
      <c r="G71" s="98">
        <v>7</v>
      </c>
      <c r="H71" s="98">
        <v>11</v>
      </c>
      <c r="I71" s="98">
        <v>13</v>
      </c>
      <c r="J71" s="98">
        <v>17</v>
      </c>
      <c r="K71" s="98">
        <v>19</v>
      </c>
      <c r="AO71" s="87">
        <f t="shared" si="13"/>
        <v>14.399999999999981</v>
      </c>
      <c r="AP71" s="126" t="str">
        <f t="shared" si="14"/>
        <v>0.0001-23.7760624032554i</v>
      </c>
      <c r="AQ71" s="105" t="str">
        <f t="shared" si="15"/>
        <v>0.000000001</v>
      </c>
      <c r="AR71" s="105" t="str">
        <f t="shared" si="16"/>
        <v>0.154991081306871+223.187157081894i</v>
      </c>
      <c r="AS71" s="93" t="str">
        <f t="shared" si="17"/>
        <v>9999999999+9999999i</v>
      </c>
      <c r="AU71" s="87" t="str">
        <f t="shared" si="12"/>
        <v>0.154991082306871+223.187157081894i</v>
      </c>
      <c r="AV71" s="87" t="str">
        <f t="shared" si="18"/>
        <v>-681960524.718064+2231873120506.42i</v>
      </c>
      <c r="AW71" s="87" t="str">
        <f t="shared" si="19"/>
        <v>9999999999.15499+10000222.1871571i</v>
      </c>
      <c r="AX71" s="87" t="str">
        <f t="shared" si="20"/>
        <v>0.154996063543278+223.187157069994i</v>
      </c>
      <c r="AY71" s="87" t="str">
        <f t="shared" si="21"/>
        <v>0.155096063543278+199.411094666739i</v>
      </c>
      <c r="AZ71" s="87">
        <f t="shared" si="22"/>
        <v>14.399999999999981</v>
      </c>
      <c r="BA71" s="87">
        <f t="shared" si="23"/>
        <v>199.41115498130003</v>
      </c>
    </row>
    <row r="72" spans="2:53" ht="18" x14ac:dyDescent="0.35">
      <c r="B72" s="91" t="s">
        <v>32</v>
      </c>
      <c r="D72" s="142">
        <f>D14</f>
        <v>46.331024136257334</v>
      </c>
      <c r="E72" s="98">
        <v>0</v>
      </c>
      <c r="F72" s="98">
        <v>98</v>
      </c>
      <c r="G72" s="98">
        <v>0</v>
      </c>
      <c r="H72" s="98">
        <v>0</v>
      </c>
      <c r="I72" s="98">
        <v>0</v>
      </c>
      <c r="J72" s="98">
        <v>0</v>
      </c>
      <c r="K72" s="98">
        <v>0</v>
      </c>
      <c r="AO72" s="87">
        <f t="shared" si="13"/>
        <v>14.59999999999998</v>
      </c>
      <c r="AP72" s="126" t="str">
        <f t="shared" si="14"/>
        <v>0.0001-23.4503629182793i</v>
      </c>
      <c r="AQ72" s="105" t="str">
        <f t="shared" si="15"/>
        <v>0.000000001</v>
      </c>
      <c r="AR72" s="105" t="str">
        <f t="shared" si="16"/>
        <v>0.154991081306871+226.286978708031i</v>
      </c>
      <c r="AS72" s="93" t="str">
        <f t="shared" si="17"/>
        <v>9999999999+9999999i</v>
      </c>
      <c r="AU72" s="87" t="str">
        <f t="shared" si="12"/>
        <v>0.154991082306871+226.286978708031i</v>
      </c>
      <c r="AV72" s="87" t="str">
        <f t="shared" si="18"/>
        <v>-712958737.879612+2262871336764.69i</v>
      </c>
      <c r="AW72" s="87" t="str">
        <f t="shared" si="19"/>
        <v>9999999999.15499+10000225.2869787i</v>
      </c>
      <c r="AX72" s="87" t="str">
        <f t="shared" si="20"/>
        <v>0.154996202872007+226.286978695896i</v>
      </c>
      <c r="AY72" s="87" t="str">
        <f t="shared" si="21"/>
        <v>0.155096202872007+202.836615777617i</v>
      </c>
      <c r="AZ72" s="87">
        <f t="shared" si="22"/>
        <v>14.59999999999998</v>
      </c>
      <c r="BA72" s="87">
        <f t="shared" si="23"/>
        <v>202.83667507368773</v>
      </c>
    </row>
    <row r="73" spans="2:53" ht="18" x14ac:dyDescent="0.35">
      <c r="B73" s="91" t="s">
        <v>33</v>
      </c>
      <c r="D73" s="147">
        <f t="shared" ref="D73:K73" si="24">($D$22/D71)*D72</f>
        <v>15862.598223413554</v>
      </c>
      <c r="E73" s="147">
        <f t="shared" si="24"/>
        <v>0</v>
      </c>
      <c r="F73" s="147">
        <f t="shared" si="24"/>
        <v>6710.5558526947989</v>
      </c>
      <c r="G73" s="147">
        <f t="shared" si="24"/>
        <v>0</v>
      </c>
      <c r="H73" s="147">
        <f t="shared" si="24"/>
        <v>0</v>
      </c>
      <c r="I73" s="147">
        <f t="shared" si="24"/>
        <v>0</v>
      </c>
      <c r="J73" s="147">
        <f t="shared" si="24"/>
        <v>0</v>
      </c>
      <c r="K73" s="147">
        <f t="shared" si="24"/>
        <v>0</v>
      </c>
      <c r="AO73" s="87">
        <f t="shared" si="13"/>
        <v>14.799999999999979</v>
      </c>
      <c r="AP73" s="126" t="str">
        <f t="shared" si="14"/>
        <v>0.0001-23.1334661220864i</v>
      </c>
      <c r="AQ73" s="105" t="str">
        <f t="shared" si="15"/>
        <v>0.000000001</v>
      </c>
      <c r="AR73" s="105" t="str">
        <f t="shared" si="16"/>
        <v>0.154991081306871+229.386800334168i</v>
      </c>
      <c r="AS73" s="93" t="str">
        <f t="shared" si="17"/>
        <v>9999999999+9999999i</v>
      </c>
      <c r="AU73" s="87" t="str">
        <f t="shared" si="12"/>
        <v>0.154991082306871+229.386800334168i</v>
      </c>
      <c r="AV73" s="87" t="str">
        <f t="shared" si="18"/>
        <v>-743956951.041161+2293869553022.96i</v>
      </c>
      <c r="AW73" s="87" t="str">
        <f t="shared" si="19"/>
        <v>9999999999.15499+10000228.3868003i</v>
      </c>
      <c r="AX73" s="87" t="str">
        <f t="shared" si="20"/>
        <v>0.154996344122512+229.386800321795i</v>
      </c>
      <c r="AY73" s="87" t="str">
        <f t="shared" si="21"/>
        <v>0.155096344122512+206.253334199709i</v>
      </c>
      <c r="AZ73" s="87">
        <f t="shared" si="22"/>
        <v>14.799999999999979</v>
      </c>
      <c r="BA73" s="87">
        <f t="shared" si="23"/>
        <v>206.2533925136089</v>
      </c>
    </row>
    <row r="74" spans="2:53" ht="18" x14ac:dyDescent="0.35">
      <c r="B74" s="91" t="s">
        <v>68</v>
      </c>
      <c r="D74" s="147">
        <f t="shared" ref="D74:K74" si="25">T94</f>
        <v>46.331024136257334</v>
      </c>
      <c r="E74" s="147">
        <f t="shared" si="25"/>
        <v>0</v>
      </c>
      <c r="F74" s="147">
        <f t="shared" si="25"/>
        <v>98</v>
      </c>
      <c r="G74" s="147">
        <f t="shared" si="25"/>
        <v>0</v>
      </c>
      <c r="H74" s="147">
        <f t="shared" si="25"/>
        <v>0</v>
      </c>
      <c r="I74" s="147">
        <f t="shared" si="25"/>
        <v>0</v>
      </c>
      <c r="J74" s="147">
        <f t="shared" si="25"/>
        <v>0</v>
      </c>
      <c r="K74" s="147">
        <f t="shared" si="25"/>
        <v>0</v>
      </c>
      <c r="AO74" s="87">
        <f t="shared" si="13"/>
        <v>14.999999999999979</v>
      </c>
      <c r="AP74" s="126" t="str">
        <f t="shared" si="14"/>
        <v>0.0001-22.8250199071252i</v>
      </c>
      <c r="AQ74" s="105" t="str">
        <f t="shared" si="15"/>
        <v>0.000000001</v>
      </c>
      <c r="AR74" s="105" t="str">
        <f t="shared" si="16"/>
        <v>0.154991081306871+232.486621960306i</v>
      </c>
      <c r="AS74" s="93" t="str">
        <f t="shared" si="17"/>
        <v>9999999999+9999999i</v>
      </c>
      <c r="AU74" s="87" t="str">
        <f t="shared" si="12"/>
        <v>0.154991082306871+232.486621960306i</v>
      </c>
      <c r="AV74" s="87" t="str">
        <f t="shared" si="18"/>
        <v>-774955164.202719+2324867769281.24i</v>
      </c>
      <c r="AW74" s="87" t="str">
        <f t="shared" si="19"/>
        <v>9999999999.15499+10000231.486622i</v>
      </c>
      <c r="AX74" s="87" t="str">
        <f t="shared" si="20"/>
        <v>0.154996487294797+232.486621947694i</v>
      </c>
      <c r="AY74" s="87" t="str">
        <f t="shared" si="21"/>
        <v>0.155096487294797+209.661602040569i</v>
      </c>
      <c r="AZ74" s="87">
        <f t="shared" si="22"/>
        <v>14.999999999999979</v>
      </c>
      <c r="BA74" s="87">
        <f t="shared" si="23"/>
        <v>209.66165940662182</v>
      </c>
    </row>
    <row r="75" spans="2:53" x14ac:dyDescent="0.25">
      <c r="B75" s="91" t="s">
        <v>285</v>
      </c>
      <c r="D75" s="252">
        <f>(VLOOKUP(D71+0.1,filterimpedance,2)*D72)/((($D$8*1000)/1.73205))</f>
        <v>1.0011850837914</v>
      </c>
      <c r="E75" s="268">
        <f t="shared" ref="E75:K75" si="26">(VLOOKUP(E71+0.1,filterimpedance,2)*E72)/((($D$8*1000)/1.73205))</f>
        <v>0</v>
      </c>
      <c r="F75" s="268">
        <f t="shared" si="26"/>
        <v>5.8449268879871549E-2</v>
      </c>
      <c r="G75" s="268">
        <f t="shared" si="26"/>
        <v>0</v>
      </c>
      <c r="H75" s="268">
        <f t="shared" si="26"/>
        <v>0</v>
      </c>
      <c r="I75" s="268">
        <f t="shared" si="26"/>
        <v>0</v>
      </c>
      <c r="J75" s="268">
        <f t="shared" si="26"/>
        <v>0</v>
      </c>
      <c r="K75" s="268">
        <f t="shared" si="26"/>
        <v>0</v>
      </c>
      <c r="Q75" s="143"/>
      <c r="R75" s="143"/>
      <c r="S75" s="143"/>
      <c r="T75" s="143"/>
      <c r="U75" s="143"/>
      <c r="V75" s="143"/>
      <c r="W75" s="143"/>
      <c r="X75" s="143"/>
      <c r="Y75" s="143"/>
      <c r="Z75" s="143"/>
      <c r="AA75" s="143"/>
      <c r="AB75" s="143"/>
      <c r="AC75" s="143"/>
      <c r="AD75" s="143"/>
      <c r="AE75" s="143"/>
      <c r="AF75" s="143"/>
      <c r="AG75" s="143"/>
      <c r="AH75" s="143"/>
      <c r="AI75" s="143"/>
      <c r="AJ75" s="143"/>
      <c r="AK75" s="143"/>
      <c r="AL75" s="143"/>
      <c r="AM75" s="143"/>
      <c r="AO75" s="87">
        <f t="shared" si="13"/>
        <v>15.199999999999978</v>
      </c>
      <c r="AP75" s="126" t="str">
        <f t="shared" si="14"/>
        <v>0.0001-22.5246906978209i</v>
      </c>
      <c r="AQ75" s="105" t="str">
        <f t="shared" si="15"/>
        <v>0.000000001</v>
      </c>
      <c r="AR75" s="105" t="str">
        <f t="shared" si="16"/>
        <v>0.154991081306871+235.586443586443i</v>
      </c>
      <c r="AS75" s="93" t="str">
        <f t="shared" si="17"/>
        <v>9999999999+9999999i</v>
      </c>
      <c r="AU75" s="87" t="str">
        <f t="shared" si="12"/>
        <v>0.154991082306871+235.586443586443i</v>
      </c>
      <c r="AV75" s="87" t="str">
        <f t="shared" si="18"/>
        <v>-805953377.364268+2355865985539.51i</v>
      </c>
      <c r="AW75" s="87" t="str">
        <f t="shared" si="19"/>
        <v>9999999999.15499+10000234.5864436i</v>
      </c>
      <c r="AX75" s="87" t="str">
        <f t="shared" si="20"/>
        <v>0.154996632388856+235.58644357359i</v>
      </c>
      <c r="AY75" s="87" t="str">
        <f t="shared" si="21"/>
        <v>0.155096632388856+213.061752875769i</v>
      </c>
      <c r="AZ75" s="87">
        <f t="shared" si="22"/>
        <v>15.199999999999978</v>
      </c>
      <c r="BA75" s="87">
        <f t="shared" si="23"/>
        <v>213.06180932645023</v>
      </c>
    </row>
    <row r="76" spans="2:53" x14ac:dyDescent="0.25">
      <c r="D76" s="304" t="s">
        <v>224</v>
      </c>
      <c r="E76" s="305"/>
      <c r="F76" s="305"/>
      <c r="G76" s="305"/>
      <c r="H76" s="305"/>
      <c r="I76" s="305"/>
      <c r="J76" s="305"/>
      <c r="K76" s="306"/>
      <c r="Q76" s="143"/>
      <c r="R76" s="143"/>
      <c r="S76" s="143"/>
      <c r="T76" s="143"/>
      <c r="U76" s="143"/>
      <c r="V76" s="143"/>
      <c r="W76" s="143"/>
      <c r="X76" s="143"/>
      <c r="Y76" s="143"/>
      <c r="Z76" s="143"/>
      <c r="AA76" s="143"/>
      <c r="AB76" s="143"/>
      <c r="AC76" s="143"/>
      <c r="AD76" s="143"/>
      <c r="AE76" s="143"/>
      <c r="AF76" s="143"/>
      <c r="AG76" s="143"/>
      <c r="AH76" s="143"/>
      <c r="AI76" s="143"/>
      <c r="AJ76" s="143"/>
      <c r="AK76" s="143"/>
      <c r="AL76" s="143"/>
      <c r="AM76" s="143"/>
      <c r="AO76" s="87">
        <f t="shared" si="13"/>
        <v>15.399999999999977</v>
      </c>
      <c r="AP76" s="126" t="str">
        <f t="shared" si="14"/>
        <v>0.0001-22.2321622471999i</v>
      </c>
      <c r="AQ76" s="105" t="str">
        <f t="shared" si="15"/>
        <v>0.000000001</v>
      </c>
      <c r="AR76" s="105" t="str">
        <f t="shared" si="16"/>
        <v>0.154991081306871+238.686265212581i</v>
      </c>
      <c r="AS76" s="93" t="str">
        <f t="shared" si="17"/>
        <v>9999999999+9999999i</v>
      </c>
      <c r="AU76" s="87" t="str">
        <f t="shared" si="12"/>
        <v>0.154991082306871+238.686265212581i</v>
      </c>
      <c r="AV76" s="87" t="str">
        <f t="shared" si="18"/>
        <v>-836951590.525826+2386864201797.79i</v>
      </c>
      <c r="AW76" s="87" t="str">
        <f t="shared" si="19"/>
        <v>9999999999.15499+10000237.6862652i</v>
      </c>
      <c r="AX76" s="87" t="str">
        <f t="shared" si="20"/>
        <v>0.154996779404693+238.686265199485i</v>
      </c>
      <c r="AY76" s="87" t="str">
        <f t="shared" si="21"/>
        <v>0.155096779404693+216.454102952285i</v>
      </c>
      <c r="AZ76" s="87">
        <f t="shared" si="22"/>
        <v>15.399999999999977</v>
      </c>
      <c r="BA76" s="87">
        <f t="shared" si="23"/>
        <v>216.45415851835551</v>
      </c>
    </row>
    <row r="77" spans="2:53" x14ac:dyDescent="0.25">
      <c r="B77" s="91" t="s">
        <v>31</v>
      </c>
      <c r="D77" s="98">
        <v>23</v>
      </c>
      <c r="E77" s="98">
        <v>25</v>
      </c>
      <c r="F77" s="98">
        <v>29</v>
      </c>
      <c r="G77" s="98">
        <v>31</v>
      </c>
      <c r="H77" s="98">
        <v>35</v>
      </c>
      <c r="I77" s="98">
        <v>37</v>
      </c>
      <c r="J77" s="98">
        <v>41</v>
      </c>
      <c r="K77" s="98">
        <v>43</v>
      </c>
      <c r="Q77" s="143"/>
      <c r="R77" s="143"/>
      <c r="S77" s="143"/>
      <c r="T77" s="143">
        <f t="shared" ref="T77:AA77" si="27">D71</f>
        <v>1</v>
      </c>
      <c r="U77" s="143">
        <f t="shared" si="27"/>
        <v>3</v>
      </c>
      <c r="V77" s="143">
        <f t="shared" si="27"/>
        <v>5</v>
      </c>
      <c r="W77" s="143">
        <f t="shared" si="27"/>
        <v>7</v>
      </c>
      <c r="X77" s="143">
        <f t="shared" si="27"/>
        <v>11</v>
      </c>
      <c r="Y77" s="143">
        <f t="shared" si="27"/>
        <v>13</v>
      </c>
      <c r="Z77" s="143">
        <f t="shared" si="27"/>
        <v>17</v>
      </c>
      <c r="AA77" s="143">
        <f t="shared" si="27"/>
        <v>19</v>
      </c>
      <c r="AB77" s="143"/>
      <c r="AC77" s="143"/>
      <c r="AD77" s="143"/>
      <c r="AE77" s="143"/>
      <c r="AF77" s="143"/>
      <c r="AG77" s="143"/>
      <c r="AH77" s="143"/>
      <c r="AI77" s="143"/>
      <c r="AJ77" s="143"/>
      <c r="AK77" s="143"/>
      <c r="AL77" s="143"/>
      <c r="AM77" s="143"/>
      <c r="AO77" s="87">
        <f t="shared" si="13"/>
        <v>15.599999999999977</v>
      </c>
      <c r="AP77" s="126" t="str">
        <f t="shared" si="14"/>
        <v>0.0001-21.9471345260819i</v>
      </c>
      <c r="AQ77" s="105" t="str">
        <f t="shared" si="15"/>
        <v>0.000000001</v>
      </c>
      <c r="AR77" s="105" t="str">
        <f t="shared" si="16"/>
        <v>0.154991081306871+241.786086838718i</v>
      </c>
      <c r="AS77" s="93" t="str">
        <f t="shared" si="17"/>
        <v>9999999999+9999999i</v>
      </c>
      <c r="AU77" s="87" t="str">
        <f t="shared" si="12"/>
        <v>0.154991082306871+241.786086838718i</v>
      </c>
      <c r="AV77" s="87" t="str">
        <f t="shared" si="18"/>
        <v>-867949803.687374+2417862418056.06i</v>
      </c>
      <c r="AW77" s="87" t="str">
        <f t="shared" si="19"/>
        <v>9999999999.15499+10000240.7860868i</v>
      </c>
      <c r="AX77" s="87" t="str">
        <f t="shared" si="20"/>
        <v>0.154996928342306+241.786086825377i</v>
      </c>
      <c r="AY77" s="87" t="str">
        <f t="shared" si="21"/>
        <v>0.155096928342306+219.838952299295i</v>
      </c>
      <c r="AZ77" s="87">
        <f t="shared" si="22"/>
        <v>15.599999999999977</v>
      </c>
      <c r="BA77" s="87">
        <f t="shared" si="23"/>
        <v>219.8390070099228</v>
      </c>
    </row>
    <row r="78" spans="2:53" ht="18" x14ac:dyDescent="0.35">
      <c r="B78" s="91" t="s">
        <v>32</v>
      </c>
      <c r="D78" s="148">
        <v>0</v>
      </c>
      <c r="E78" s="98">
        <v>0</v>
      </c>
      <c r="F78" s="98">
        <v>0</v>
      </c>
      <c r="G78" s="98">
        <v>0</v>
      </c>
      <c r="H78" s="98">
        <v>0</v>
      </c>
      <c r="I78" s="98">
        <v>0</v>
      </c>
      <c r="J78" s="98">
        <v>0</v>
      </c>
      <c r="K78" s="98">
        <v>0</v>
      </c>
      <c r="Q78" s="143"/>
      <c r="R78" s="156" t="s">
        <v>57</v>
      </c>
      <c r="S78" s="156"/>
      <c r="T78" s="156">
        <f t="shared" ref="T78:AA78" si="28">D73^2</f>
        <v>251622022.39744282</v>
      </c>
      <c r="U78" s="156">
        <f t="shared" si="28"/>
        <v>0</v>
      </c>
      <c r="V78" s="156">
        <f t="shared" si="28"/>
        <v>45031559.852136418</v>
      </c>
      <c r="W78" s="156">
        <f t="shared" si="28"/>
        <v>0</v>
      </c>
      <c r="X78" s="156">
        <f t="shared" si="28"/>
        <v>0</v>
      </c>
      <c r="Y78" s="156">
        <f t="shared" si="28"/>
        <v>0</v>
      </c>
      <c r="Z78" s="156">
        <f t="shared" si="28"/>
        <v>0</v>
      </c>
      <c r="AA78" s="156">
        <f t="shared" si="28"/>
        <v>0</v>
      </c>
      <c r="AB78" s="156"/>
      <c r="AC78" s="156"/>
      <c r="AD78" s="156"/>
      <c r="AE78" s="156"/>
      <c r="AF78" s="156"/>
      <c r="AG78" s="156"/>
      <c r="AH78" s="156"/>
      <c r="AI78" s="156"/>
      <c r="AJ78" s="143"/>
      <c r="AK78" s="143"/>
      <c r="AL78" s="143"/>
      <c r="AM78" s="143"/>
      <c r="AO78" s="87">
        <f t="shared" si="13"/>
        <v>15.799999999999976</v>
      </c>
      <c r="AP78" s="126" t="str">
        <f t="shared" si="14"/>
        <v>0.0001-21.6693226966378i</v>
      </c>
      <c r="AQ78" s="105" t="str">
        <f t="shared" si="15"/>
        <v>0.000000001</v>
      </c>
      <c r="AR78" s="105" t="str">
        <f t="shared" si="16"/>
        <v>0.154991081306871+244.885908464855i</v>
      </c>
      <c r="AS78" s="93" t="str">
        <f t="shared" si="17"/>
        <v>9999999999+9999999i</v>
      </c>
      <c r="AU78" s="87" t="str">
        <f t="shared" si="12"/>
        <v>0.154991082306871+244.885908464855i</v>
      </c>
      <c r="AV78" s="87" t="str">
        <f t="shared" si="18"/>
        <v>-898948016.848922+2448860634314.33i</v>
      </c>
      <c r="AW78" s="87" t="str">
        <f t="shared" si="19"/>
        <v>9999999999.15499+10000243.8859085i</v>
      </c>
      <c r="AX78" s="87" t="str">
        <f t="shared" si="20"/>
        <v>0.154997079201698+244.885908451267i</v>
      </c>
      <c r="AY78" s="87" t="str">
        <f t="shared" si="21"/>
        <v>0.155097079201698+223.216585754629i</v>
      </c>
      <c r="AZ78" s="87">
        <f t="shared" si="22"/>
        <v>15.799999999999976</v>
      </c>
      <c r="BA78" s="87">
        <f t="shared" si="23"/>
        <v>223.21663963750018</v>
      </c>
    </row>
    <row r="79" spans="2:53" ht="18" x14ac:dyDescent="0.35">
      <c r="B79" s="91" t="s">
        <v>33</v>
      </c>
      <c r="D79" s="149">
        <f t="shared" ref="D79:K79" si="29">($D$22/D77)*D78</f>
        <v>0</v>
      </c>
      <c r="E79" s="149">
        <f t="shared" si="29"/>
        <v>0</v>
      </c>
      <c r="F79" s="149">
        <f t="shared" si="29"/>
        <v>0</v>
      </c>
      <c r="G79" s="149">
        <f t="shared" si="29"/>
        <v>0</v>
      </c>
      <c r="H79" s="149">
        <f t="shared" si="29"/>
        <v>0</v>
      </c>
      <c r="I79" s="149">
        <f t="shared" si="29"/>
        <v>0</v>
      </c>
      <c r="J79" s="149">
        <f t="shared" si="29"/>
        <v>0</v>
      </c>
      <c r="K79" s="149">
        <f t="shared" si="29"/>
        <v>0</v>
      </c>
      <c r="Q79" s="143"/>
      <c r="R79" s="156" t="s">
        <v>58</v>
      </c>
      <c r="S79" s="156"/>
      <c r="T79" s="156">
        <f t="shared" ref="T79:AA79" si="30">D72*D72</f>
        <v>2146.5637975144596</v>
      </c>
      <c r="U79" s="156">
        <f t="shared" si="30"/>
        <v>0</v>
      </c>
      <c r="V79" s="156">
        <f t="shared" si="30"/>
        <v>9604</v>
      </c>
      <c r="W79" s="156">
        <f t="shared" si="30"/>
        <v>0</v>
      </c>
      <c r="X79" s="156">
        <f t="shared" si="30"/>
        <v>0</v>
      </c>
      <c r="Y79" s="156">
        <f t="shared" si="30"/>
        <v>0</v>
      </c>
      <c r="Z79" s="156">
        <f t="shared" si="30"/>
        <v>0</v>
      </c>
      <c r="AA79" s="156">
        <f t="shared" si="30"/>
        <v>0</v>
      </c>
      <c r="AB79" s="156"/>
      <c r="AC79" s="156"/>
      <c r="AD79" s="156"/>
      <c r="AE79" s="156"/>
      <c r="AF79" s="156"/>
      <c r="AG79" s="156"/>
      <c r="AH79" s="156"/>
      <c r="AI79" s="156"/>
      <c r="AJ79" s="143"/>
      <c r="AK79" s="143"/>
      <c r="AL79" s="143"/>
      <c r="AM79" s="143"/>
      <c r="AO79" s="87">
        <f t="shared" si="13"/>
        <v>15.999999999999975</v>
      </c>
      <c r="AP79" s="126" t="str">
        <f t="shared" si="14"/>
        <v>0.0001-21.3984561629299i</v>
      </c>
      <c r="AQ79" s="105" t="str">
        <f t="shared" si="15"/>
        <v>0.000000001</v>
      </c>
      <c r="AR79" s="105" t="str">
        <f t="shared" si="16"/>
        <v>0.154991081306871+247.985730090993i</v>
      </c>
      <c r="AS79" s="93" t="str">
        <f t="shared" si="17"/>
        <v>9999999999+9999999i</v>
      </c>
      <c r="AU79" s="87" t="str">
        <f t="shared" si="12"/>
        <v>0.154991082306871+247.985730090993i</v>
      </c>
      <c r="AV79" s="87" t="str">
        <f t="shared" si="18"/>
        <v>-929946230.010481+2479858850572.61i</v>
      </c>
      <c r="AW79" s="87" t="str">
        <f t="shared" si="19"/>
        <v>9999999999.15499+10000246.9857301i</v>
      </c>
      <c r="AX79" s="87" t="str">
        <f t="shared" si="20"/>
        <v>0.154997231982865+247.985730077156i</v>
      </c>
      <c r="AY79" s="87" t="str">
        <f t="shared" si="21"/>
        <v>0.155097231982865+226.587273914226i</v>
      </c>
      <c r="AZ79" s="87">
        <f t="shared" si="22"/>
        <v>15.999999999999975</v>
      </c>
      <c r="BA79" s="87">
        <f t="shared" si="23"/>
        <v>226.58732699564609</v>
      </c>
    </row>
    <row r="80" spans="2:53" ht="18" x14ac:dyDescent="0.35">
      <c r="B80" s="91" t="s">
        <v>68</v>
      </c>
      <c r="D80" s="149">
        <f t="shared" ref="D80:K80" si="31">AB94</f>
        <v>0</v>
      </c>
      <c r="E80" s="149">
        <f t="shared" si="31"/>
        <v>0</v>
      </c>
      <c r="F80" s="149">
        <f t="shared" si="31"/>
        <v>0</v>
      </c>
      <c r="G80" s="149">
        <f t="shared" si="31"/>
        <v>0</v>
      </c>
      <c r="H80" s="149">
        <f t="shared" si="31"/>
        <v>0</v>
      </c>
      <c r="I80" s="149">
        <f t="shared" si="31"/>
        <v>0</v>
      </c>
      <c r="J80" s="149">
        <f t="shared" si="31"/>
        <v>0</v>
      </c>
      <c r="K80" s="149">
        <f t="shared" si="31"/>
        <v>0</v>
      </c>
      <c r="Q80" s="143"/>
      <c r="R80" s="156" t="s">
        <v>59</v>
      </c>
      <c r="S80" s="156"/>
      <c r="T80" s="156">
        <f t="shared" ref="T80:AA80" si="32">T79*$D$22/(T77*1000)</f>
        <v>734.93042115272601</v>
      </c>
      <c r="U80" s="156">
        <f t="shared" si="32"/>
        <v>0</v>
      </c>
      <c r="V80" s="156">
        <f t="shared" si="32"/>
        <v>657.63447356409029</v>
      </c>
      <c r="W80" s="156">
        <f t="shared" si="32"/>
        <v>0</v>
      </c>
      <c r="X80" s="156">
        <f t="shared" si="32"/>
        <v>0</v>
      </c>
      <c r="Y80" s="156">
        <f t="shared" si="32"/>
        <v>0</v>
      </c>
      <c r="Z80" s="156">
        <f t="shared" si="32"/>
        <v>0</v>
      </c>
      <c r="AA80" s="156">
        <f t="shared" si="32"/>
        <v>0</v>
      </c>
      <c r="AB80" s="156"/>
      <c r="AC80" s="156"/>
      <c r="AD80" s="156"/>
      <c r="AE80" s="156"/>
      <c r="AF80" s="156"/>
      <c r="AG80" s="156"/>
      <c r="AH80" s="156"/>
      <c r="AI80" s="156"/>
      <c r="AJ80" s="143"/>
      <c r="AK80" s="143"/>
      <c r="AL80" s="143"/>
      <c r="AM80" s="143"/>
      <c r="AO80" s="87">
        <f t="shared" si="13"/>
        <v>16.199999999999974</v>
      </c>
      <c r="AP80" s="126" t="str">
        <f t="shared" si="14"/>
        <v>0.0001-21.1342776917826i</v>
      </c>
      <c r="AQ80" s="105" t="str">
        <f t="shared" si="15"/>
        <v>0.000000001</v>
      </c>
      <c r="AR80" s="105" t="str">
        <f t="shared" si="16"/>
        <v>0.154991081306871+251.08555171713i</v>
      </c>
      <c r="AS80" s="93" t="str">
        <f t="shared" si="17"/>
        <v>9999999999+9999999i</v>
      </c>
      <c r="AU80" s="87" t="str">
        <f t="shared" si="12"/>
        <v>0.154991082306871+251.08555171713i</v>
      </c>
      <c r="AV80" s="87" t="str">
        <f t="shared" si="18"/>
        <v>-960944443.172029+2510857066830.88i</v>
      </c>
      <c r="AW80" s="87" t="str">
        <f t="shared" si="19"/>
        <v>9999999999.15499+10000250.0855517i</v>
      </c>
      <c r="AX80" s="87" t="str">
        <f t="shared" si="20"/>
        <v>0.154997386685809+251.085551703042i</v>
      </c>
      <c r="AY80" s="87" t="str">
        <f t="shared" si="21"/>
        <v>0.155097386685809+229.951274011259i</v>
      </c>
      <c r="AZ80" s="87">
        <f t="shared" si="22"/>
        <v>16.199999999999974</v>
      </c>
      <c r="BA80" s="87">
        <f t="shared" si="23"/>
        <v>229.9513263162456</v>
      </c>
    </row>
    <row r="81" spans="2:65" x14ac:dyDescent="0.25">
      <c r="B81" s="91" t="s">
        <v>285</v>
      </c>
      <c r="D81" s="268">
        <f t="shared" ref="D81:K81" si="33">(VLOOKUP(D77+0.1,filterimpedance,2)*D78)/((($D$8*1000)/1.73205))</f>
        <v>0</v>
      </c>
      <c r="E81" s="268">
        <f t="shared" si="33"/>
        <v>0</v>
      </c>
      <c r="F81" s="268">
        <f t="shared" si="33"/>
        <v>0</v>
      </c>
      <c r="G81" s="268">
        <f t="shared" si="33"/>
        <v>0</v>
      </c>
      <c r="H81" s="268">
        <f t="shared" si="33"/>
        <v>0</v>
      </c>
      <c r="I81" s="268">
        <f t="shared" si="33"/>
        <v>0</v>
      </c>
      <c r="J81" s="268">
        <f t="shared" si="33"/>
        <v>0</v>
      </c>
      <c r="K81" s="268">
        <f t="shared" si="33"/>
        <v>0</v>
      </c>
      <c r="Q81" s="143"/>
      <c r="R81" s="156"/>
      <c r="S81" s="156"/>
      <c r="T81" s="156"/>
      <c r="U81" s="156"/>
      <c r="V81" s="156"/>
      <c r="W81" s="156"/>
      <c r="X81" s="156"/>
      <c r="Y81" s="156"/>
      <c r="Z81" s="156"/>
      <c r="AA81" s="156"/>
      <c r="AB81" s="156"/>
      <c r="AC81" s="156"/>
      <c r="AD81" s="156"/>
      <c r="AE81" s="156"/>
      <c r="AF81" s="156"/>
      <c r="AG81" s="156"/>
      <c r="AH81" s="156"/>
      <c r="AI81" s="156"/>
      <c r="AJ81" s="143"/>
      <c r="AK81" s="143"/>
      <c r="AL81" s="143"/>
      <c r="AM81" s="143"/>
      <c r="AO81" s="87">
        <f t="shared" si="13"/>
        <v>16.399999999999974</v>
      </c>
      <c r="AP81" s="126" t="str">
        <f t="shared" si="14"/>
        <v>0.0001-20.8765425979804i</v>
      </c>
      <c r="AQ81" s="105" t="str">
        <f t="shared" si="15"/>
        <v>0.000000001</v>
      </c>
      <c r="AR81" s="105" t="str">
        <f t="shared" si="16"/>
        <v>0.154991081306871+254.185373343268i</v>
      </c>
      <c r="AS81" s="93" t="str">
        <f t="shared" si="17"/>
        <v>9999999999+9999999i</v>
      </c>
      <c r="AU81" s="87" t="str">
        <f t="shared" si="12"/>
        <v>0.154991082306871+254.185373343268i</v>
      </c>
      <c r="AV81" s="87" t="str">
        <f t="shared" si="18"/>
        <v>-991942656.333588+2541855283089.16i</v>
      </c>
      <c r="AW81" s="87" t="str">
        <f t="shared" si="19"/>
        <v>9999999999.15499+10000253.1853733i</v>
      </c>
      <c r="AX81" s="87" t="str">
        <f t="shared" si="20"/>
        <v>0.154997543310529+254.185373328927i</v>
      </c>
      <c r="AY81" s="87" t="str">
        <f t="shared" si="21"/>
        <v>0.155097543310529+233.308830730947i</v>
      </c>
      <c r="AZ81" s="87">
        <f t="shared" si="22"/>
        <v>16.399999999999974</v>
      </c>
      <c r="BA81" s="87">
        <f t="shared" si="23"/>
        <v>233.30888228331477</v>
      </c>
    </row>
    <row r="82" spans="2:65" x14ac:dyDescent="0.25">
      <c r="B82" s="91" t="s">
        <v>286</v>
      </c>
      <c r="D82" s="268">
        <f>SQRT(E75^2+F75^2+G75^2+H75^2+I75^2+J75^2+K75^2+D81^2+E81^2+F81^2+G81^2+H81^2+I81^2+J81^2+K81^2)</f>
        <v>5.8449268879871549E-2</v>
      </c>
      <c r="H82" s="102" t="s">
        <v>0</v>
      </c>
      <c r="Q82" s="143"/>
      <c r="R82" s="156"/>
      <c r="S82" s="156"/>
      <c r="T82" s="156"/>
      <c r="U82" s="156"/>
      <c r="V82" s="156"/>
      <c r="W82" s="156"/>
      <c r="X82" s="156"/>
      <c r="Y82" s="156"/>
      <c r="Z82" s="156"/>
      <c r="AA82" s="156"/>
      <c r="AB82" s="156"/>
      <c r="AC82" s="156"/>
      <c r="AD82" s="156"/>
      <c r="AE82" s="156"/>
      <c r="AF82" s="156"/>
      <c r="AG82" s="156"/>
      <c r="AH82" s="156"/>
      <c r="AI82" s="156"/>
      <c r="AJ82" s="143"/>
      <c r="AK82" s="143"/>
      <c r="AL82" s="143"/>
      <c r="AM82" s="143"/>
      <c r="AO82" s="87">
        <f t="shared" si="13"/>
        <v>16.599999999999973</v>
      </c>
      <c r="AP82" s="126" t="str">
        <f t="shared" si="14"/>
        <v>0.0001-20.6250179883661i</v>
      </c>
      <c r="AQ82" s="105" t="str">
        <f t="shared" si="15"/>
        <v>0.000000001</v>
      </c>
      <c r="AR82" s="105" t="str">
        <f t="shared" si="16"/>
        <v>0.154991081306871+257.285194969405i</v>
      </c>
      <c r="AS82" s="93" t="str">
        <f t="shared" si="17"/>
        <v>9999999999+9999999i</v>
      </c>
      <c r="AU82" s="87" t="str">
        <f t="shared" si="12"/>
        <v>0.154991082306871+257.285194969405i</v>
      </c>
      <c r="AV82" s="87" t="str">
        <f t="shared" si="18"/>
        <v>-1022940869.49514+2572853499347.43i</v>
      </c>
      <c r="AW82" s="87" t="str">
        <f t="shared" si="19"/>
        <v>9999999999.15499+10000256.285195i</v>
      </c>
      <c r="AX82" s="87" t="str">
        <f t="shared" si="20"/>
        <v>0.154997701857029+257.28519495481i</v>
      </c>
      <c r="AY82" s="87" t="str">
        <f t="shared" si="21"/>
        <v>0.155097701857029+236.660176966444i</v>
      </c>
      <c r="AZ82" s="87">
        <f t="shared" si="22"/>
        <v>16.599999999999973</v>
      </c>
      <c r="BA82" s="87">
        <f t="shared" si="23"/>
        <v>236.66022778888242</v>
      </c>
    </row>
    <row r="83" spans="2:65" x14ac:dyDescent="0.25">
      <c r="H83" s="104" t="s">
        <v>0</v>
      </c>
      <c r="Q83" s="143"/>
      <c r="R83" s="156"/>
      <c r="S83" s="156"/>
      <c r="T83" s="156">
        <f t="shared" ref="T83:AA83" si="34">D77</f>
        <v>23</v>
      </c>
      <c r="U83" s="156">
        <f t="shared" si="34"/>
        <v>25</v>
      </c>
      <c r="V83" s="156">
        <f t="shared" si="34"/>
        <v>29</v>
      </c>
      <c r="W83" s="156">
        <f t="shared" si="34"/>
        <v>31</v>
      </c>
      <c r="X83" s="156">
        <f t="shared" si="34"/>
        <v>35</v>
      </c>
      <c r="Y83" s="156">
        <f t="shared" si="34"/>
        <v>37</v>
      </c>
      <c r="Z83" s="156">
        <f t="shared" si="34"/>
        <v>41</v>
      </c>
      <c r="AA83" s="156">
        <f t="shared" si="34"/>
        <v>43</v>
      </c>
      <c r="AB83" s="156"/>
      <c r="AC83" s="156"/>
      <c r="AD83" s="156"/>
      <c r="AE83" s="156"/>
      <c r="AF83" s="156"/>
      <c r="AG83" s="156"/>
      <c r="AH83" s="156"/>
      <c r="AI83" s="156"/>
      <c r="AJ83" s="143"/>
      <c r="AK83" s="143"/>
      <c r="AL83" s="143"/>
      <c r="AM83" s="143"/>
      <c r="AO83" s="87">
        <f t="shared" si="13"/>
        <v>16.799999999999972</v>
      </c>
      <c r="AP83" s="126" t="str">
        <f t="shared" si="14"/>
        <v>0.0001-20.3794820599332i</v>
      </c>
      <c r="AQ83" s="105" t="str">
        <f t="shared" si="15"/>
        <v>0.000000001</v>
      </c>
      <c r="AR83" s="105" t="str">
        <f t="shared" si="16"/>
        <v>0.154991081306871+260.385016595542i</v>
      </c>
      <c r="AS83" s="93" t="str">
        <f t="shared" si="17"/>
        <v>9999999999+9999999i</v>
      </c>
      <c r="AU83" s="87" t="str">
        <f t="shared" si="12"/>
        <v>0.154991082306871+260.385016595542i</v>
      </c>
      <c r="AV83" s="87" t="str">
        <f t="shared" si="18"/>
        <v>-1053939082.65668+2603851715605.7i</v>
      </c>
      <c r="AW83" s="87" t="str">
        <f t="shared" si="19"/>
        <v>9999999999.15499+10000259.3850166i</v>
      </c>
      <c r="AX83" s="87" t="str">
        <f t="shared" si="20"/>
        <v>0.154997862325304+260.38501658069i</v>
      </c>
      <c r="AY83" s="87" t="str">
        <f t="shared" si="21"/>
        <v>0.155097862325304+240.005534520757i</v>
      </c>
      <c r="AZ83" s="87">
        <f t="shared" si="22"/>
        <v>16.799999999999972</v>
      </c>
      <c r="BA83" s="87">
        <f t="shared" si="23"/>
        <v>240.00558463490214</v>
      </c>
    </row>
    <row r="84" spans="2:65" ht="21" x14ac:dyDescent="0.35">
      <c r="B84" s="117" t="s">
        <v>138</v>
      </c>
      <c r="C84" s="115"/>
      <c r="D84" s="115"/>
      <c r="E84" s="115"/>
      <c r="F84" s="115"/>
      <c r="G84" s="96"/>
      <c r="H84" s="96"/>
      <c r="I84" s="96"/>
      <c r="J84" s="96"/>
      <c r="K84" s="96"/>
      <c r="L84" s="96"/>
      <c r="Q84" s="143"/>
      <c r="R84" s="156" t="s">
        <v>57</v>
      </c>
      <c r="S84" s="156"/>
      <c r="T84" s="156">
        <f t="shared" ref="T84:AA84" si="35">D79^2</f>
        <v>0</v>
      </c>
      <c r="U84" s="156">
        <f t="shared" si="35"/>
        <v>0</v>
      </c>
      <c r="V84" s="156">
        <f t="shared" si="35"/>
        <v>0</v>
      </c>
      <c r="W84" s="156">
        <f t="shared" si="35"/>
        <v>0</v>
      </c>
      <c r="X84" s="156">
        <f t="shared" si="35"/>
        <v>0</v>
      </c>
      <c r="Y84" s="156">
        <f t="shared" si="35"/>
        <v>0</v>
      </c>
      <c r="Z84" s="156">
        <f t="shared" si="35"/>
        <v>0</v>
      </c>
      <c r="AA84" s="156">
        <f t="shared" si="35"/>
        <v>0</v>
      </c>
      <c r="AB84" s="156"/>
      <c r="AC84" s="156"/>
      <c r="AD84" s="156"/>
      <c r="AE84" s="156"/>
      <c r="AF84" s="156"/>
      <c r="AG84" s="156"/>
      <c r="AH84" s="156"/>
      <c r="AI84" s="156"/>
      <c r="AJ84" s="143"/>
      <c r="AK84" s="143"/>
      <c r="AL84" s="143"/>
      <c r="AM84" s="143"/>
      <c r="AO84" s="87">
        <f t="shared" si="13"/>
        <v>16.999999999999972</v>
      </c>
      <c r="AP84" s="126" t="str">
        <f t="shared" si="14"/>
        <v>0.0001-20.1397234474634i</v>
      </c>
      <c r="AQ84" s="105" t="str">
        <f t="shared" si="15"/>
        <v>0.000000001</v>
      </c>
      <c r="AR84" s="105" t="str">
        <f t="shared" si="16"/>
        <v>0.154991081306871+263.48483822168i</v>
      </c>
      <c r="AS84" s="93" t="str">
        <f t="shared" si="17"/>
        <v>9999999999+9999999i</v>
      </c>
      <c r="AU84" s="87" t="str">
        <f t="shared" si="12"/>
        <v>0.154991082306871+263.48483822168i</v>
      </c>
      <c r="AV84" s="87" t="str">
        <f t="shared" si="18"/>
        <v>-1084937295.81824+2634849931863.98i</v>
      </c>
      <c r="AW84" s="87" t="str">
        <f t="shared" si="19"/>
        <v>9999999999.15499+10000262.4848382i</v>
      </c>
      <c r="AX84" s="87" t="str">
        <f t="shared" si="20"/>
        <v>0.154998024715356+263.48483820657i</v>
      </c>
      <c r="AY84" s="87" t="str">
        <f t="shared" si="21"/>
        <v>0.155098024715356+243.345114759107i</v>
      </c>
      <c r="AZ84" s="87">
        <f t="shared" si="22"/>
        <v>16.999999999999972</v>
      </c>
      <c r="BA84" s="87">
        <f t="shared" si="23"/>
        <v>243.34516418560742</v>
      </c>
    </row>
    <row r="85" spans="2:65" x14ac:dyDescent="0.25">
      <c r="H85" s="143"/>
      <c r="I85" s="201"/>
      <c r="J85" s="150" t="s">
        <v>242</v>
      </c>
      <c r="K85" s="202">
        <v>1.5</v>
      </c>
      <c r="Q85" s="143"/>
      <c r="R85" s="156" t="s">
        <v>58</v>
      </c>
      <c r="S85" s="156"/>
      <c r="T85" s="156">
        <f t="shared" ref="T85:AA85" si="36">D78*D78</f>
        <v>0</v>
      </c>
      <c r="U85" s="156">
        <f t="shared" si="36"/>
        <v>0</v>
      </c>
      <c r="V85" s="156">
        <f t="shared" si="36"/>
        <v>0</v>
      </c>
      <c r="W85" s="156">
        <f t="shared" si="36"/>
        <v>0</v>
      </c>
      <c r="X85" s="156">
        <f t="shared" si="36"/>
        <v>0</v>
      </c>
      <c r="Y85" s="156">
        <f t="shared" si="36"/>
        <v>0</v>
      </c>
      <c r="Z85" s="156">
        <f t="shared" si="36"/>
        <v>0</v>
      </c>
      <c r="AA85" s="156">
        <f t="shared" si="36"/>
        <v>0</v>
      </c>
      <c r="AB85" s="156"/>
      <c r="AC85" s="156"/>
      <c r="AD85" s="156"/>
      <c r="AE85" s="156"/>
      <c r="AF85" s="156"/>
      <c r="AG85" s="156"/>
      <c r="AH85" s="156"/>
      <c r="AI85" s="156"/>
      <c r="AJ85" s="143"/>
      <c r="AK85" s="143"/>
      <c r="AL85" s="143"/>
      <c r="AM85" s="143"/>
      <c r="AO85" s="87">
        <f t="shared" si="13"/>
        <v>17.199999999999971</v>
      </c>
      <c r="AP85" s="126" t="str">
        <f t="shared" si="14"/>
        <v>0.0001-19.905540616679i</v>
      </c>
      <c r="AQ85" s="105" t="str">
        <f t="shared" si="15"/>
        <v>0.000000001</v>
      </c>
      <c r="AR85" s="105" t="str">
        <f t="shared" si="16"/>
        <v>0.154991081306871+266.584659847817i</v>
      </c>
      <c r="AS85" s="93" t="str">
        <f t="shared" si="17"/>
        <v>9999999999+9999999i</v>
      </c>
      <c r="AU85" s="87" t="str">
        <f t="shared" si="12"/>
        <v>0.154991082306871+266.584659847817i</v>
      </c>
      <c r="AV85" s="87" t="str">
        <f t="shared" si="18"/>
        <v>-1115935508.97979+2665848148122.25i</v>
      </c>
      <c r="AW85" s="87" t="str">
        <f t="shared" si="19"/>
        <v>9999999999.15499+10000265.5846598i</v>
      </c>
      <c r="AX85" s="87" t="str">
        <f t="shared" si="20"/>
        <v>0.154998189027184+266.584659832446i</v>
      </c>
      <c r="AY85" s="87" t="str">
        <f t="shared" si="21"/>
        <v>0.155098189027184+246.679119215767i</v>
      </c>
      <c r="AZ85" s="87">
        <f t="shared" si="22"/>
        <v>17.199999999999971</v>
      </c>
      <c r="BA85" s="87">
        <f t="shared" si="23"/>
        <v>246.67916797434444</v>
      </c>
    </row>
    <row r="86" spans="2:65" x14ac:dyDescent="0.25">
      <c r="B86" s="199" t="str">
        <f>"Filter Bank Fundamental amps "&amp;ROUND(D72,1)&amp;" amps/phase"</f>
        <v>Filter Bank Fundamental amps 46.3 amps/phase</v>
      </c>
      <c r="C86" s="143"/>
      <c r="D86" s="143"/>
      <c r="E86" s="143"/>
      <c r="H86" s="143"/>
      <c r="I86" s="143"/>
      <c r="J86" s="150" t="s">
        <v>243</v>
      </c>
      <c r="K86" s="202">
        <v>1.5</v>
      </c>
      <c r="Q86" s="143"/>
      <c r="R86" s="156" t="s">
        <v>59</v>
      </c>
      <c r="S86" s="156"/>
      <c r="T86" s="156">
        <f t="shared" ref="T86:AA86" si="37">T85*$D$22/(T83*1000)</f>
        <v>0</v>
      </c>
      <c r="U86" s="156">
        <f t="shared" si="37"/>
        <v>0</v>
      </c>
      <c r="V86" s="156">
        <f t="shared" si="37"/>
        <v>0</v>
      </c>
      <c r="W86" s="156">
        <f t="shared" si="37"/>
        <v>0</v>
      </c>
      <c r="X86" s="156">
        <f t="shared" si="37"/>
        <v>0</v>
      </c>
      <c r="Y86" s="156">
        <f t="shared" si="37"/>
        <v>0</v>
      </c>
      <c r="Z86" s="156">
        <f t="shared" si="37"/>
        <v>0</v>
      </c>
      <c r="AA86" s="156">
        <f t="shared" si="37"/>
        <v>0</v>
      </c>
      <c r="AB86" s="156"/>
      <c r="AC86" s="156"/>
      <c r="AD86" s="156"/>
      <c r="AE86" s="156"/>
      <c r="AF86" s="156"/>
      <c r="AG86" s="156"/>
      <c r="AH86" s="156"/>
      <c r="AI86" s="156"/>
      <c r="AJ86" s="143"/>
      <c r="AK86" s="143"/>
      <c r="AL86" s="143"/>
      <c r="AM86" s="143"/>
      <c r="AO86" s="87">
        <f t="shared" si="13"/>
        <v>17.39999999999997</v>
      </c>
      <c r="AP86" s="126" t="str">
        <f t="shared" si="14"/>
        <v>0.0001-19.6767412992459i</v>
      </c>
      <c r="AQ86" s="105" t="str">
        <f t="shared" si="15"/>
        <v>0.000000001</v>
      </c>
      <c r="AR86" s="105" t="str">
        <f t="shared" si="16"/>
        <v>0.154991081306871+269.684481473955i</v>
      </c>
      <c r="AS86" s="93" t="str">
        <f t="shared" si="17"/>
        <v>9999999999+9999999i</v>
      </c>
      <c r="AU86" s="87" t="str">
        <f t="shared" si="12"/>
        <v>0.154991082306871+269.684481473955i</v>
      </c>
      <c r="AV86" s="87" t="str">
        <f t="shared" si="18"/>
        <v>-1146933722.14135+2696846364380.53i</v>
      </c>
      <c r="AW86" s="87" t="str">
        <f t="shared" si="19"/>
        <v>9999999999.15499+10000268.6844815i</v>
      </c>
      <c r="AX86" s="87" t="str">
        <f t="shared" si="20"/>
        <v>0.154998355260791+269.684481458322i</v>
      </c>
      <c r="AY86" s="87" t="str">
        <f t="shared" si="21"/>
        <v>0.155098355260791+250.007740159076i</v>
      </c>
      <c r="AZ86" s="87">
        <f t="shared" si="22"/>
        <v>17.39999999999997</v>
      </c>
      <c r="BA86" s="87">
        <f t="shared" si="23"/>
        <v>250.00778826858146</v>
      </c>
    </row>
    <row r="87" spans="2:65" x14ac:dyDescent="0.25">
      <c r="B87" s="199" t="str">
        <f>"Specified Filter Bank RMS AMPS "&amp;ROUND(AM98,2)&amp;" amps/phase"</f>
        <v>Specified Filter Bank RMS AMPS 108.4 amps/phase</v>
      </c>
      <c r="C87" s="143"/>
      <c r="D87" s="143"/>
      <c r="E87" s="143"/>
      <c r="Q87" s="143"/>
      <c r="R87" s="156"/>
      <c r="S87" s="156"/>
      <c r="T87" s="156"/>
      <c r="U87" s="156"/>
      <c r="V87" s="156"/>
      <c r="W87" s="156"/>
      <c r="X87" s="156"/>
      <c r="Y87" s="156"/>
      <c r="Z87" s="156"/>
      <c r="AA87" s="156"/>
      <c r="AB87" s="156"/>
      <c r="AC87" s="156"/>
      <c r="AD87" s="156"/>
      <c r="AE87" s="156"/>
      <c r="AF87" s="156"/>
      <c r="AG87" s="156"/>
      <c r="AH87" s="156"/>
      <c r="AI87" s="156"/>
      <c r="AJ87" s="143"/>
      <c r="AK87" s="143"/>
      <c r="AL87" s="143"/>
      <c r="AM87" s="143"/>
      <c r="AO87" s="87">
        <f t="shared" si="13"/>
        <v>17.599999999999969</v>
      </c>
      <c r="AP87" s="126" t="str">
        <f t="shared" si="14"/>
        <v>0.0001-19.4531419662999i</v>
      </c>
      <c r="AQ87" s="105" t="str">
        <f t="shared" si="15"/>
        <v>0.000000001</v>
      </c>
      <c r="AR87" s="105" t="str">
        <f t="shared" si="16"/>
        <v>0.154991081306871+272.784303100092i</v>
      </c>
      <c r="AS87" s="93" t="str">
        <f t="shared" si="17"/>
        <v>9999999999+9999999i</v>
      </c>
      <c r="AU87" s="87" t="str">
        <f t="shared" si="12"/>
        <v>0.154991082306871+272.784303100092i</v>
      </c>
      <c r="AV87" s="87" t="str">
        <f t="shared" si="18"/>
        <v>-1177931935.3029+2727844580638.8i</v>
      </c>
      <c r="AW87" s="87" t="str">
        <f t="shared" si="19"/>
        <v>9999999999.15499+10000271.7843031i</v>
      </c>
      <c r="AX87" s="87" t="str">
        <f t="shared" si="20"/>
        <v>0.154998523416173+272.784303084195i</v>
      </c>
      <c r="AY87" s="87" t="str">
        <f t="shared" si="21"/>
        <v>0.155098523416173+253.331161117895i</v>
      </c>
      <c r="AZ87" s="87">
        <f t="shared" si="22"/>
        <v>17.599999999999969</v>
      </c>
      <c r="BA87" s="87">
        <f t="shared" si="23"/>
        <v>253.33120859636074</v>
      </c>
    </row>
    <row r="88" spans="2:65" x14ac:dyDescent="0.25">
      <c r="B88" s="143"/>
      <c r="C88" s="143"/>
      <c r="D88" s="150" t="s">
        <v>0</v>
      </c>
      <c r="E88" s="143"/>
      <c r="F88" s="143"/>
      <c r="G88" s="143"/>
      <c r="H88" s="307" t="str">
        <f>"Reference: Notch Filter Design - Stage/Branch: "&amp;I9&amp;", Tuning Point: "&amp;FIXED(D10,2)&amp;", Reference: "&amp;I8</f>
        <v>Reference: Notch Filter Design - Stage/Branch: Branch/Stage #, Tuning Point: 4.70, Reference: Enter Job Name</v>
      </c>
      <c r="I88" s="307"/>
      <c r="J88" s="307"/>
      <c r="K88" s="307"/>
      <c r="L88" s="307"/>
      <c r="Q88" s="143"/>
      <c r="R88" s="156"/>
      <c r="S88" s="156"/>
      <c r="T88" s="156"/>
      <c r="U88" s="156"/>
      <c r="V88" s="156"/>
      <c r="W88" s="156"/>
      <c r="X88" s="156"/>
      <c r="Y88" s="156"/>
      <c r="Z88" s="156"/>
      <c r="AA88" s="156"/>
      <c r="AB88" s="156"/>
      <c r="AC88" s="156"/>
      <c r="AD88" s="156"/>
      <c r="AE88" s="156"/>
      <c r="AF88" s="156"/>
      <c r="AG88" s="156"/>
      <c r="AH88" s="156"/>
      <c r="AI88" s="156"/>
      <c r="AJ88" s="143"/>
      <c r="AK88" s="143"/>
      <c r="AL88" s="143"/>
      <c r="AM88" s="143"/>
      <c r="AO88" s="87">
        <f t="shared" si="13"/>
        <v>17.799999999999969</v>
      </c>
      <c r="AP88" s="126" t="str">
        <f t="shared" si="14"/>
        <v>0.0001-19.2345673374651i</v>
      </c>
      <c r="AQ88" s="105" t="str">
        <f t="shared" si="15"/>
        <v>0.000000001</v>
      </c>
      <c r="AR88" s="105" t="str">
        <f t="shared" si="16"/>
        <v>0.154991081306871+275.884124726229i</v>
      </c>
      <c r="AS88" s="93" t="str">
        <f t="shared" si="17"/>
        <v>9999999999+9999999i</v>
      </c>
      <c r="AU88" s="87" t="str">
        <f t="shared" si="12"/>
        <v>0.154991082306871+275.884124726229i</v>
      </c>
      <c r="AV88" s="87" t="str">
        <f t="shared" si="18"/>
        <v>-1208930148.46445+2758842796897.07i</v>
      </c>
      <c r="AW88" s="87" t="str">
        <f t="shared" si="19"/>
        <v>9999999999.15499+10000274.8841247i</v>
      </c>
      <c r="AX88" s="87" t="str">
        <f t="shared" si="20"/>
        <v>0.154998693493332+275.884124710065i</v>
      </c>
      <c r="AY88" s="87" t="str">
        <f t="shared" si="21"/>
        <v>0.155098693493332+256.6495573726i</v>
      </c>
      <c r="AZ88" s="87">
        <f t="shared" si="22"/>
        <v>17.799999999999969</v>
      </c>
      <c r="BA88" s="87">
        <f t="shared" si="23"/>
        <v>256.64960423728735</v>
      </c>
    </row>
    <row r="89" spans="2:65" x14ac:dyDescent="0.25">
      <c r="B89" s="143"/>
      <c r="C89" s="143"/>
      <c r="D89" s="150" t="s">
        <v>0</v>
      </c>
      <c r="E89" s="143"/>
      <c r="F89" s="143"/>
      <c r="G89" s="143"/>
      <c r="H89" s="308"/>
      <c r="I89" s="308"/>
      <c r="J89" s="308"/>
      <c r="K89" s="308"/>
      <c r="L89" s="308"/>
      <c r="Q89" s="143"/>
      <c r="R89" s="156" t="s">
        <v>0</v>
      </c>
      <c r="S89" s="156"/>
      <c r="T89" s="157" t="s">
        <v>0</v>
      </c>
      <c r="U89" s="156"/>
      <c r="V89" s="156"/>
      <c r="W89" s="156"/>
      <c r="X89" s="156"/>
      <c r="Y89" s="156"/>
      <c r="Z89" s="156"/>
      <c r="AA89" s="156"/>
      <c r="AB89" s="156"/>
      <c r="AC89" s="156"/>
      <c r="AD89" s="156"/>
      <c r="AE89" s="156"/>
      <c r="AF89" s="156"/>
      <c r="AG89" s="156"/>
      <c r="AH89" s="156"/>
      <c r="AI89" s="156"/>
      <c r="AJ89" s="143"/>
      <c r="AK89" s="143"/>
      <c r="AL89" s="143"/>
      <c r="AM89" s="143"/>
      <c r="AO89" s="87">
        <f t="shared" si="13"/>
        <v>17.999999999999968</v>
      </c>
      <c r="AP89" s="126" t="str">
        <f t="shared" si="14"/>
        <v>0.0001-19.0208499226043i</v>
      </c>
      <c r="AQ89" s="105" t="str">
        <f t="shared" si="15"/>
        <v>0.000000001</v>
      </c>
      <c r="AR89" s="105" t="str">
        <f t="shared" si="16"/>
        <v>0.154991081306871+278.983946352367i</v>
      </c>
      <c r="AS89" s="93" t="str">
        <f t="shared" si="17"/>
        <v>9999999999+9999999i</v>
      </c>
      <c r="AU89" s="87" t="str">
        <f t="shared" si="12"/>
        <v>0.154991082306871+278.983946352367i</v>
      </c>
      <c r="AV89" s="87" t="str">
        <f t="shared" si="18"/>
        <v>-1239928361.626+2789841013155.35i</v>
      </c>
      <c r="AW89" s="87" t="str">
        <f t="shared" si="19"/>
        <v>9999999999.15499+10000277.9839464i</v>
      </c>
      <c r="AX89" s="87" t="str">
        <f t="shared" si="20"/>
        <v>0.154998865492271+278.983946335935i</v>
      </c>
      <c r="AY89" s="87" t="str">
        <f t="shared" si="21"/>
        <v>0.155098865492271+259.963096413331i</v>
      </c>
      <c r="AZ89" s="87">
        <f t="shared" si="22"/>
        <v>17.999999999999968</v>
      </c>
      <c r="BA89" s="87">
        <f t="shared" si="23"/>
        <v>259.96314268077492</v>
      </c>
    </row>
    <row r="90" spans="2:65" x14ac:dyDescent="0.25">
      <c r="B90" s="199" t="str">
        <f>"Iron-Core Filter Reactor: "&amp;ROUND(D24,2)&amp;" ohms, "&amp;ROUND(D25,2)&amp;" mH"</f>
        <v>Iron-Core Filter Reactor: 15.5 ohms, 41.11 mH</v>
      </c>
      <c r="C90" s="143"/>
      <c r="D90" s="150"/>
      <c r="E90" s="143"/>
      <c r="G90" s="143"/>
      <c r="H90" s="309" t="s">
        <v>240</v>
      </c>
      <c r="I90" s="309"/>
      <c r="J90" s="212"/>
      <c r="K90" s="310" t="s">
        <v>241</v>
      </c>
      <c r="L90" s="310"/>
      <c r="Q90" s="143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6"/>
      <c r="AF90" s="156"/>
      <c r="AG90" s="156"/>
      <c r="AH90" s="156"/>
      <c r="AI90" s="156"/>
      <c r="AJ90" s="143"/>
      <c r="AK90" s="143"/>
      <c r="AL90" s="143"/>
      <c r="AM90" s="143"/>
      <c r="AO90" s="87">
        <f t="shared" si="13"/>
        <v>18.199999999999967</v>
      </c>
      <c r="AP90" s="126" t="str">
        <f t="shared" si="14"/>
        <v>0.0001-18.8118295937845i</v>
      </c>
      <c r="AQ90" s="105" t="str">
        <f t="shared" si="15"/>
        <v>0.000000001</v>
      </c>
      <c r="AR90" s="105" t="str">
        <f t="shared" si="16"/>
        <v>0.154991081306871+282.083767978504i</v>
      </c>
      <c r="AS90" s="93" t="str">
        <f t="shared" si="17"/>
        <v>9999999999+9999999i</v>
      </c>
      <c r="AU90" s="87" t="str">
        <f t="shared" si="12"/>
        <v>0.154991082306871+282.083767978504i</v>
      </c>
      <c r="AV90" s="87" t="str">
        <f t="shared" si="18"/>
        <v>-1270926574.78755+2820839229413.62i</v>
      </c>
      <c r="AW90" s="87" t="str">
        <f t="shared" si="19"/>
        <v>9999999999.15499+10000281.083768i</v>
      </c>
      <c r="AX90" s="87" t="str">
        <f t="shared" si="20"/>
        <v>0.154999039412984+282.083767961802i</v>
      </c>
      <c r="AY90" s="87" t="str">
        <f t="shared" si="21"/>
        <v>0.155099039412984+263.271938368017i</v>
      </c>
      <c r="AZ90" s="87">
        <f t="shared" si="22"/>
        <v>18.199999999999967</v>
      </c>
      <c r="BA90" s="87">
        <f t="shared" si="23"/>
        <v>263.2719840540671</v>
      </c>
    </row>
    <row r="91" spans="2:65" x14ac:dyDescent="0.25">
      <c r="B91" s="199" t="str">
        <f>"I1= "&amp;ROUND(D74,1)&amp;" amps nominal"</f>
        <v>I1= 46.3 amps nominal</v>
      </c>
      <c r="C91" s="143"/>
      <c r="D91" s="150"/>
      <c r="E91" s="143"/>
      <c r="G91" s="143"/>
      <c r="H91" s="215" t="s">
        <v>225</v>
      </c>
      <c r="I91" s="211" t="s">
        <v>215</v>
      </c>
      <c r="J91" s="143"/>
      <c r="K91" s="51" t="s">
        <v>248</v>
      </c>
      <c r="L91" s="98">
        <v>3</v>
      </c>
      <c r="Q91" s="143"/>
      <c r="R91" s="156" t="s">
        <v>64</v>
      </c>
      <c r="S91" s="156"/>
      <c r="T91" s="156">
        <f t="shared" ref="T91:AA92" si="38">D71</f>
        <v>1</v>
      </c>
      <c r="U91" s="156">
        <f t="shared" si="38"/>
        <v>3</v>
      </c>
      <c r="V91" s="156">
        <f t="shared" si="38"/>
        <v>5</v>
      </c>
      <c r="W91" s="156">
        <f t="shared" si="38"/>
        <v>7</v>
      </c>
      <c r="X91" s="156">
        <f t="shared" si="38"/>
        <v>11</v>
      </c>
      <c r="Y91" s="156">
        <f t="shared" si="38"/>
        <v>13</v>
      </c>
      <c r="Z91" s="156">
        <f t="shared" si="38"/>
        <v>17</v>
      </c>
      <c r="AA91" s="156">
        <f t="shared" si="38"/>
        <v>19</v>
      </c>
      <c r="AB91" s="156">
        <f t="shared" ref="AB91:AI92" si="39">D77</f>
        <v>23</v>
      </c>
      <c r="AC91" s="156">
        <f t="shared" si="39"/>
        <v>25</v>
      </c>
      <c r="AD91" s="156">
        <f t="shared" si="39"/>
        <v>29</v>
      </c>
      <c r="AE91" s="156">
        <f t="shared" si="39"/>
        <v>31</v>
      </c>
      <c r="AF91" s="156">
        <f t="shared" si="39"/>
        <v>35</v>
      </c>
      <c r="AG91" s="156">
        <f t="shared" si="39"/>
        <v>37</v>
      </c>
      <c r="AH91" s="156">
        <f t="shared" si="39"/>
        <v>41</v>
      </c>
      <c r="AI91" s="156">
        <f t="shared" si="39"/>
        <v>43</v>
      </c>
      <c r="AJ91" s="143" t="s">
        <v>0</v>
      </c>
      <c r="AK91" s="143" t="s">
        <v>0</v>
      </c>
      <c r="AL91" s="143" t="s">
        <v>0</v>
      </c>
      <c r="AM91" s="143" t="s">
        <v>0</v>
      </c>
      <c r="AO91" s="87">
        <f t="shared" si="13"/>
        <v>18.399999999999967</v>
      </c>
      <c r="AP91" s="126" t="str">
        <f t="shared" si="14"/>
        <v>0.0001-18.6073531851564i</v>
      </c>
      <c r="AQ91" s="105" t="str">
        <f t="shared" si="15"/>
        <v>0.000000001</v>
      </c>
      <c r="AR91" s="105" t="str">
        <f t="shared" si="16"/>
        <v>0.154991081306871+285.183589604642i</v>
      </c>
      <c r="AS91" s="93" t="str">
        <f t="shared" si="17"/>
        <v>9999999999+9999999i</v>
      </c>
      <c r="AU91" s="87" t="str">
        <f t="shared" si="12"/>
        <v>0.154991082306871+285.183589604642i</v>
      </c>
      <c r="AV91" s="87" t="str">
        <f t="shared" si="18"/>
        <v>-1301924787.94911+2851837445671.9i</v>
      </c>
      <c r="AW91" s="87" t="str">
        <f t="shared" si="19"/>
        <v>9999999999.15499+10000284.1835896i</v>
      </c>
      <c r="AX91" s="87" t="str">
        <f t="shared" si="20"/>
        <v>0.154999215255473+285.183589587668i</v>
      </c>
      <c r="AY91" s="87" t="str">
        <f t="shared" si="21"/>
        <v>0.155099215255473+266.576236402512i</v>
      </c>
      <c r="AZ91" s="87">
        <f t="shared" si="22"/>
        <v>18.399999999999967</v>
      </c>
      <c r="BA91" s="87">
        <f t="shared" si="23"/>
        <v>266.57628152237123</v>
      </c>
    </row>
    <row r="92" spans="2:65" x14ac:dyDescent="0.25">
      <c r="B92" s="143"/>
      <c r="C92" s="143"/>
      <c r="D92" s="143"/>
      <c r="E92" s="143"/>
      <c r="F92" s="143"/>
      <c r="G92" s="143"/>
      <c r="H92" s="138">
        <f>D71</f>
        <v>1</v>
      </c>
      <c r="I92" s="188">
        <f>D72*K85</f>
        <v>69.496536204386004</v>
      </c>
      <c r="J92" s="143"/>
      <c r="K92" s="150" t="s">
        <v>229</v>
      </c>
      <c r="L92" s="98">
        <v>3</v>
      </c>
      <c r="Q92" s="143"/>
      <c r="R92" s="156" t="s">
        <v>65</v>
      </c>
      <c r="S92" s="156"/>
      <c r="T92" s="158">
        <f t="shared" si="38"/>
        <v>46.331024136257334</v>
      </c>
      <c r="U92" s="158">
        <f t="shared" si="38"/>
        <v>0</v>
      </c>
      <c r="V92" s="158">
        <f t="shared" si="38"/>
        <v>98</v>
      </c>
      <c r="W92" s="158">
        <f t="shared" si="38"/>
        <v>0</v>
      </c>
      <c r="X92" s="158">
        <f t="shared" si="38"/>
        <v>0</v>
      </c>
      <c r="Y92" s="158">
        <f t="shared" si="38"/>
        <v>0</v>
      </c>
      <c r="Z92" s="158">
        <f t="shared" si="38"/>
        <v>0</v>
      </c>
      <c r="AA92" s="158">
        <f t="shared" si="38"/>
        <v>0</v>
      </c>
      <c r="AB92" s="158">
        <f t="shared" si="39"/>
        <v>0</v>
      </c>
      <c r="AC92" s="158">
        <f t="shared" si="39"/>
        <v>0</v>
      </c>
      <c r="AD92" s="158">
        <f t="shared" si="39"/>
        <v>0</v>
      </c>
      <c r="AE92" s="158">
        <f t="shared" si="39"/>
        <v>0</v>
      </c>
      <c r="AF92" s="158">
        <f t="shared" si="39"/>
        <v>0</v>
      </c>
      <c r="AG92" s="158">
        <f t="shared" si="39"/>
        <v>0</v>
      </c>
      <c r="AH92" s="158">
        <f t="shared" si="39"/>
        <v>0</v>
      </c>
      <c r="AI92" s="158">
        <f t="shared" si="39"/>
        <v>0</v>
      </c>
      <c r="AJ92" s="143"/>
      <c r="AK92" s="143"/>
      <c r="AL92" s="143"/>
      <c r="AM92" s="143"/>
      <c r="AO92" s="87">
        <f t="shared" si="13"/>
        <v>18.599999999999966</v>
      </c>
      <c r="AP92" s="126" t="str">
        <f t="shared" si="14"/>
        <v>0.0001-18.4072741186494i</v>
      </c>
      <c r="AQ92" s="105" t="str">
        <f t="shared" si="15"/>
        <v>0.000000001</v>
      </c>
      <c r="AR92" s="105" t="str">
        <f t="shared" si="16"/>
        <v>0.154991081306871+288.283411230779i</v>
      </c>
      <c r="AS92" s="93" t="str">
        <f t="shared" si="17"/>
        <v>9999999999+9999999i</v>
      </c>
      <c r="AU92" s="87" t="str">
        <f t="shared" si="12"/>
        <v>0.154991082306871+288.283411230779i</v>
      </c>
      <c r="AV92" s="87" t="str">
        <f t="shared" si="18"/>
        <v>-1332923001.11066+2882835661930.17i</v>
      </c>
      <c r="AW92" s="87" t="str">
        <f t="shared" si="19"/>
        <v>9999999999.15499+10000287.2834112i</v>
      </c>
      <c r="AX92" s="87" t="str">
        <f t="shared" si="20"/>
        <v>0.15499939301974+288.283411213531i</v>
      </c>
      <c r="AY92" s="87" t="str">
        <f t="shared" si="21"/>
        <v>0.15509939301974+269.876137094882i</v>
      </c>
      <c r="AZ92" s="87">
        <f t="shared" si="22"/>
        <v>18.599999999999966</v>
      </c>
      <c r="BA92" s="87">
        <f t="shared" si="23"/>
        <v>269.87618166314206</v>
      </c>
      <c r="BL92" s="104">
        <f>I92</f>
        <v>69.496536204386004</v>
      </c>
      <c r="BM92" s="87">
        <f>BL92*BL92</f>
        <v>4829.768544407535</v>
      </c>
    </row>
    <row r="93" spans="2:65" x14ac:dyDescent="0.25">
      <c r="B93" s="143"/>
      <c r="C93" s="143"/>
      <c r="D93" s="143"/>
      <c r="E93" s="143"/>
      <c r="F93" s="143"/>
      <c r="G93" s="143"/>
      <c r="H93" s="205">
        <f>E71</f>
        <v>3</v>
      </c>
      <c r="I93" s="206">
        <f>E72*K86</f>
        <v>0</v>
      </c>
      <c r="J93" s="143"/>
      <c r="K93" s="150" t="s">
        <v>302</v>
      </c>
      <c r="L93" s="90" t="str">
        <f>D8&amp;" kV"</f>
        <v>26.2 kV</v>
      </c>
      <c r="Q93" s="143"/>
      <c r="R93" s="156" t="s">
        <v>66</v>
      </c>
      <c r="S93" s="156"/>
      <c r="T93" s="157">
        <f>$D$24*T91</f>
        <v>15.499108130687073</v>
      </c>
      <c r="U93" s="157">
        <f t="shared" ref="U93:AI93" si="40">$D$24*U91</f>
        <v>46.497324392061216</v>
      </c>
      <c r="V93" s="157">
        <f t="shared" si="40"/>
        <v>77.49554065343537</v>
      </c>
      <c r="W93" s="157">
        <f t="shared" si="40"/>
        <v>108.49375691480951</v>
      </c>
      <c r="X93" s="157">
        <f t="shared" si="40"/>
        <v>170.4901894375578</v>
      </c>
      <c r="Y93" s="157">
        <f t="shared" si="40"/>
        <v>201.48840569893196</v>
      </c>
      <c r="Z93" s="157">
        <f t="shared" si="40"/>
        <v>263.48483822168026</v>
      </c>
      <c r="AA93" s="157">
        <f t="shared" si="40"/>
        <v>294.48305448305439</v>
      </c>
      <c r="AB93" s="157">
        <f t="shared" si="40"/>
        <v>356.4794870058027</v>
      </c>
      <c r="AC93" s="157">
        <f t="shared" si="40"/>
        <v>387.47770326717682</v>
      </c>
      <c r="AD93" s="157">
        <f t="shared" si="40"/>
        <v>449.47413578992513</v>
      </c>
      <c r="AE93" s="157">
        <f t="shared" si="40"/>
        <v>480.47235205129925</v>
      </c>
      <c r="AF93" s="157">
        <f t="shared" si="40"/>
        <v>542.46878457404762</v>
      </c>
      <c r="AG93" s="157">
        <f t="shared" si="40"/>
        <v>573.46700083542169</v>
      </c>
      <c r="AH93" s="157">
        <f t="shared" si="40"/>
        <v>635.46343335817005</v>
      </c>
      <c r="AI93" s="157">
        <f t="shared" si="40"/>
        <v>666.46164961954412</v>
      </c>
      <c r="AJ93" s="143"/>
      <c r="AK93" s="143"/>
      <c r="AL93" s="143"/>
      <c r="AM93" s="143"/>
      <c r="AO93" s="87">
        <f t="shared" si="13"/>
        <v>18.799999999999965</v>
      </c>
      <c r="AP93" s="126" t="str">
        <f t="shared" si="14"/>
        <v>0.0001-18.2114520535573i</v>
      </c>
      <c r="AQ93" s="105" t="str">
        <f t="shared" si="15"/>
        <v>0.000000001</v>
      </c>
      <c r="AR93" s="105" t="str">
        <f t="shared" si="16"/>
        <v>0.154991081306871+291.383232856916i</v>
      </c>
      <c r="AS93" s="93" t="str">
        <f t="shared" si="17"/>
        <v>9999999999+9999999i</v>
      </c>
      <c r="AU93" s="87" t="str">
        <f t="shared" si="12"/>
        <v>0.154991082306871+291.383232856916i</v>
      </c>
      <c r="AV93" s="87" t="str">
        <f t="shared" si="18"/>
        <v>-1363921214.27221+2913833878188.44i</v>
      </c>
      <c r="AW93" s="87" t="str">
        <f t="shared" si="19"/>
        <v>9999999999.15499+10000290.3832329i</v>
      </c>
      <c r="AX93" s="87" t="str">
        <f t="shared" si="20"/>
        <v>0.154999572705786+291.383232839393i</v>
      </c>
      <c r="AY93" s="87" t="str">
        <f t="shared" si="21"/>
        <v>0.155099572705786+273.171780785836i</v>
      </c>
      <c r="AZ93" s="87">
        <f t="shared" si="22"/>
        <v>18.799999999999965</v>
      </c>
      <c r="BA93" s="87">
        <f t="shared" si="23"/>
        <v>273.17182481651048</v>
      </c>
      <c r="BL93" s="104">
        <f t="shared" ref="BL93:BL107" si="41">I93</f>
        <v>0</v>
      </c>
      <c r="BM93" s="87">
        <f t="shared" ref="BM93:BM107" si="42">BL93*BL93</f>
        <v>0</v>
      </c>
    </row>
    <row r="94" spans="2:65" x14ac:dyDescent="0.25">
      <c r="B94" s="143"/>
      <c r="C94" s="143"/>
      <c r="D94" s="143"/>
      <c r="E94" s="143"/>
      <c r="F94" s="143"/>
      <c r="G94" s="143"/>
      <c r="H94" s="138">
        <f>F71</f>
        <v>5</v>
      </c>
      <c r="I94" s="203">
        <f>F72*K86</f>
        <v>147</v>
      </c>
      <c r="K94" s="150" t="s">
        <v>233</v>
      </c>
      <c r="L94" s="98">
        <v>95</v>
      </c>
      <c r="Q94" s="143"/>
      <c r="R94" s="156" t="s">
        <v>67</v>
      </c>
      <c r="S94" s="156"/>
      <c r="T94" s="159">
        <f>T92</f>
        <v>46.331024136257334</v>
      </c>
      <c r="U94" s="159">
        <f t="shared" ref="U94:AI94" si="43">U92</f>
        <v>0</v>
      </c>
      <c r="V94" s="159">
        <f t="shared" si="43"/>
        <v>98</v>
      </c>
      <c r="W94" s="159">
        <f t="shared" si="43"/>
        <v>0</v>
      </c>
      <c r="X94" s="159">
        <f t="shared" si="43"/>
        <v>0</v>
      </c>
      <c r="Y94" s="159">
        <f t="shared" si="43"/>
        <v>0</v>
      </c>
      <c r="Z94" s="159">
        <f t="shared" si="43"/>
        <v>0</v>
      </c>
      <c r="AA94" s="159">
        <f t="shared" si="43"/>
        <v>0</v>
      </c>
      <c r="AB94" s="159">
        <f t="shared" si="43"/>
        <v>0</v>
      </c>
      <c r="AC94" s="159">
        <f t="shared" si="43"/>
        <v>0</v>
      </c>
      <c r="AD94" s="159">
        <f t="shared" si="43"/>
        <v>0</v>
      </c>
      <c r="AE94" s="159">
        <f t="shared" si="43"/>
        <v>0</v>
      </c>
      <c r="AF94" s="159">
        <f t="shared" si="43"/>
        <v>0</v>
      </c>
      <c r="AG94" s="159">
        <f t="shared" si="43"/>
        <v>0</v>
      </c>
      <c r="AH94" s="159">
        <f t="shared" si="43"/>
        <v>0</v>
      </c>
      <c r="AI94" s="159">
        <f t="shared" si="43"/>
        <v>0</v>
      </c>
      <c r="AJ94" s="143"/>
      <c r="AK94" s="143"/>
      <c r="AL94" s="143"/>
      <c r="AM94" s="143"/>
      <c r="AO94" s="87">
        <f t="shared" si="13"/>
        <v>18.999999999999964</v>
      </c>
      <c r="AP94" s="126" t="str">
        <f t="shared" si="14"/>
        <v>0.0001-18.0197525582567i</v>
      </c>
      <c r="AQ94" s="105" t="str">
        <f t="shared" si="15"/>
        <v>0.000000001</v>
      </c>
      <c r="AR94" s="105" t="str">
        <f t="shared" si="16"/>
        <v>0.154991081306871+294.483054483054i</v>
      </c>
      <c r="AS94" s="93" t="str">
        <f t="shared" si="17"/>
        <v>9999999999+9999999i</v>
      </c>
      <c r="AU94" s="87" t="str">
        <f t="shared" si="12"/>
        <v>0.154991082306871+294.483054483054i</v>
      </c>
      <c r="AV94" s="87" t="str">
        <f t="shared" si="18"/>
        <v>-1394919427.43377+2944832094446.72i</v>
      </c>
      <c r="AW94" s="87" t="str">
        <f t="shared" si="19"/>
        <v>9999999999.15499+10000293.4830545i</v>
      </c>
      <c r="AX94" s="87" t="str">
        <f t="shared" si="20"/>
        <v>0.154999754313606+294.483054465253i</v>
      </c>
      <c r="AY94" s="87" t="str">
        <f t="shared" si="21"/>
        <v>0.155099754313606+276.463301906996i</v>
      </c>
      <c r="AZ94" s="87">
        <f t="shared" si="22"/>
        <v>18.999999999999964</v>
      </c>
      <c r="BA94" s="87">
        <f t="shared" si="23"/>
        <v>276.46334541355134</v>
      </c>
      <c r="BL94" s="104">
        <f t="shared" si="41"/>
        <v>147</v>
      </c>
      <c r="BM94" s="87">
        <f t="shared" si="42"/>
        <v>21609</v>
      </c>
    </row>
    <row r="95" spans="2:65" x14ac:dyDescent="0.25">
      <c r="B95" s="143"/>
      <c r="C95" s="143"/>
      <c r="D95" s="143"/>
      <c r="E95" s="143"/>
      <c r="F95" s="151"/>
      <c r="G95" s="143"/>
      <c r="H95" s="207">
        <f>G71</f>
        <v>7</v>
      </c>
      <c r="I95" s="206">
        <f>G72*K86</f>
        <v>0</v>
      </c>
      <c r="J95" s="143"/>
      <c r="K95" s="150" t="s">
        <v>236</v>
      </c>
      <c r="L95" s="90">
        <f>D11</f>
        <v>60</v>
      </c>
      <c r="Q95" s="143"/>
      <c r="R95" s="156"/>
      <c r="S95" s="156"/>
      <c r="T95" s="159"/>
      <c r="U95" s="157"/>
      <c r="V95" s="157"/>
      <c r="W95" s="157"/>
      <c r="X95" s="157"/>
      <c r="Y95" s="157"/>
      <c r="Z95" s="157"/>
      <c r="AA95" s="157"/>
      <c r="AB95" s="157"/>
      <c r="AC95" s="157"/>
      <c r="AD95" s="157"/>
      <c r="AE95" s="157"/>
      <c r="AF95" s="157"/>
      <c r="AG95" s="157"/>
      <c r="AH95" s="157"/>
      <c r="AI95" s="157"/>
      <c r="AJ95" s="143"/>
      <c r="AK95" s="143"/>
      <c r="AL95" s="143"/>
      <c r="AM95" s="143"/>
      <c r="AO95" s="87">
        <f t="shared" si="13"/>
        <v>19.199999999999964</v>
      </c>
      <c r="AP95" s="126" t="str">
        <f t="shared" si="14"/>
        <v>0.0001-17.8320468024416i</v>
      </c>
      <c r="AQ95" s="105" t="str">
        <f t="shared" si="15"/>
        <v>0.000000001</v>
      </c>
      <c r="AR95" s="105" t="str">
        <f t="shared" si="16"/>
        <v>0.154991081306871+297.582876109191i</v>
      </c>
      <c r="AS95" s="93" t="str">
        <f t="shared" si="17"/>
        <v>9999999999+9999999i</v>
      </c>
      <c r="AU95" s="87" t="str">
        <f t="shared" si="12"/>
        <v>0.154991082306871+297.582876109191i</v>
      </c>
      <c r="AV95" s="87" t="str">
        <f t="shared" si="18"/>
        <v>-1425917640.59531+2975830310704.99i</v>
      </c>
      <c r="AW95" s="87" t="str">
        <f t="shared" si="19"/>
        <v>9999999999.15499+10000296.5828761i</v>
      </c>
      <c r="AX95" s="87" t="str">
        <f t="shared" si="20"/>
        <v>0.154999937843204+297.58287609111i</v>
      </c>
      <c r="AY95" s="87" t="str">
        <f t="shared" si="21"/>
        <v>0.155099937843204+279.750829288668i</v>
      </c>
      <c r="AZ95" s="87">
        <f t="shared" si="22"/>
        <v>19.199999999999964</v>
      </c>
      <c r="BA95" s="87">
        <f t="shared" si="23"/>
        <v>279.75087228405238</v>
      </c>
      <c r="BL95" s="104">
        <f t="shared" si="41"/>
        <v>0</v>
      </c>
      <c r="BM95" s="87">
        <f t="shared" si="42"/>
        <v>0</v>
      </c>
    </row>
    <row r="96" spans="2:65" x14ac:dyDescent="0.25">
      <c r="B96" s="143"/>
      <c r="C96" s="143"/>
      <c r="D96" s="143"/>
      <c r="E96" s="143"/>
      <c r="F96" s="143"/>
      <c r="G96" s="143"/>
      <c r="H96" s="138">
        <f>H71</f>
        <v>11</v>
      </c>
      <c r="I96" s="203">
        <f>H72*K86</f>
        <v>0</v>
      </c>
      <c r="J96" s="143"/>
      <c r="K96" s="51" t="s">
        <v>301</v>
      </c>
      <c r="L96" s="89">
        <f>D25</f>
        <v>41.113873761703729</v>
      </c>
      <c r="Q96" s="143"/>
      <c r="R96" s="156" t="s">
        <v>0</v>
      </c>
      <c r="S96" s="156"/>
      <c r="T96" s="156"/>
      <c r="U96" s="156"/>
      <c r="V96" s="156"/>
      <c r="W96" s="156"/>
      <c r="X96" s="156"/>
      <c r="Y96" s="156"/>
      <c r="Z96" s="156"/>
      <c r="AA96" s="156"/>
      <c r="AB96" s="156"/>
      <c r="AC96" s="156"/>
      <c r="AD96" s="156"/>
      <c r="AE96" s="156"/>
      <c r="AF96" s="156"/>
      <c r="AG96" s="156"/>
      <c r="AH96" s="156"/>
      <c r="AI96" s="156"/>
      <c r="AJ96" s="143"/>
      <c r="AK96" s="143"/>
      <c r="AL96" s="143"/>
      <c r="AM96" s="143"/>
      <c r="AO96" s="87">
        <f t="shared" si="13"/>
        <v>19.399999999999963</v>
      </c>
      <c r="AP96" s="126" t="str">
        <f t="shared" si="14"/>
        <v>0.0001-17.6482112683958i</v>
      </c>
      <c r="AQ96" s="105" t="str">
        <f t="shared" si="15"/>
        <v>0.000000001</v>
      </c>
      <c r="AR96" s="105" t="str">
        <f t="shared" si="16"/>
        <v>0.154991081306871+300.682697735329i</v>
      </c>
      <c r="AS96" s="93" t="str">
        <f t="shared" si="17"/>
        <v>9999999999+9999999i</v>
      </c>
      <c r="AU96" s="87" t="str">
        <f t="shared" si="12"/>
        <v>0.154991082306871+300.682697735329i</v>
      </c>
      <c r="AV96" s="87" t="str">
        <f t="shared" si="18"/>
        <v>-1456915853.75687+3006828526963.27i</v>
      </c>
      <c r="AW96" s="87" t="str">
        <f t="shared" si="19"/>
        <v>9999999999.15499+10000299.6826977i</v>
      </c>
      <c r="AX96" s="87" t="str">
        <f t="shared" si="20"/>
        <v>0.155000123294578+300.682697716967i</v>
      </c>
      <c r="AY96" s="87" t="str">
        <f t="shared" si="21"/>
        <v>0.155100123294578+283.034486448571i</v>
      </c>
      <c r="AZ96" s="87">
        <f t="shared" si="22"/>
        <v>19.399999999999963</v>
      </c>
      <c r="BA96" s="87">
        <f t="shared" si="23"/>
        <v>283.03452894524116</v>
      </c>
      <c r="BL96" s="104">
        <f t="shared" si="41"/>
        <v>0</v>
      </c>
      <c r="BM96" s="87">
        <f t="shared" si="42"/>
        <v>0</v>
      </c>
    </row>
    <row r="97" spans="2:66" x14ac:dyDescent="0.25">
      <c r="B97" s="143"/>
      <c r="C97" s="143"/>
      <c r="D97" s="143"/>
      <c r="E97" s="143"/>
      <c r="F97" s="143"/>
      <c r="G97" s="143"/>
      <c r="H97" s="205">
        <f>I71</f>
        <v>13</v>
      </c>
      <c r="I97" s="206">
        <f>I72*K86</f>
        <v>0</v>
      </c>
      <c r="J97" s="143"/>
      <c r="K97" s="51" t="str">
        <f>"Reactance at "&amp;L95&amp;"Hz (ohms):"</f>
        <v>Reactance at 60Hz (ohms):</v>
      </c>
      <c r="L97" s="89">
        <f>D24</f>
        <v>15.499108130687073</v>
      </c>
      <c r="Q97" s="143"/>
      <c r="R97" s="156" t="s">
        <v>0</v>
      </c>
      <c r="S97" s="143"/>
      <c r="T97" s="143"/>
      <c r="U97" s="143"/>
      <c r="V97" s="143"/>
      <c r="W97" s="143"/>
      <c r="X97" s="143"/>
      <c r="Y97" s="143"/>
      <c r="Z97" s="143"/>
      <c r="AA97" s="143"/>
      <c r="AB97" s="143"/>
      <c r="AC97" s="143"/>
      <c r="AD97" s="143"/>
      <c r="AE97" s="143"/>
      <c r="AF97" s="143"/>
      <c r="AG97" s="143"/>
      <c r="AH97" s="143"/>
      <c r="AI97" s="143"/>
      <c r="AJ97" s="143"/>
      <c r="AK97" s="143" t="s">
        <v>0</v>
      </c>
      <c r="AL97" s="143" t="s">
        <v>0</v>
      </c>
      <c r="AM97" s="143" t="s">
        <v>0</v>
      </c>
      <c r="AN97" s="87" t="s">
        <v>0</v>
      </c>
      <c r="AO97" s="87">
        <f t="shared" si="13"/>
        <v>19.599999999999962</v>
      </c>
      <c r="AP97" s="126" t="str">
        <f t="shared" si="14"/>
        <v>0.0001-17.4681274799428i</v>
      </c>
      <c r="AQ97" s="105" t="str">
        <f t="shared" si="15"/>
        <v>0.000000001</v>
      </c>
      <c r="AR97" s="105" t="str">
        <f t="shared" si="16"/>
        <v>0.154991081306871+303.782519361466i</v>
      </c>
      <c r="AS97" s="93" t="str">
        <f t="shared" si="17"/>
        <v>9999999999+9999999i</v>
      </c>
      <c r="AU97" s="87" t="str">
        <f t="shared" si="12"/>
        <v>0.154991082306871+303.782519361466i</v>
      </c>
      <c r="AV97" s="87" t="str">
        <f t="shared" si="18"/>
        <v>-1487914066.91842+3037826743221.55i</v>
      </c>
      <c r="AW97" s="87" t="str">
        <f t="shared" si="19"/>
        <v>9999999999.15499+10000302.7825194i</v>
      </c>
      <c r="AX97" s="87" t="str">
        <f t="shared" si="20"/>
        <v>0.155000310667732+303.782519342821i</v>
      </c>
      <c r="AY97" s="87" t="str">
        <f t="shared" si="21"/>
        <v>0.155100310667732+286.314391862878i</v>
      </c>
      <c r="AZ97" s="87">
        <f t="shared" si="22"/>
        <v>19.599999999999962</v>
      </c>
      <c r="BA97" s="87">
        <f t="shared" si="23"/>
        <v>286.31443387282457</v>
      </c>
      <c r="BL97" s="104">
        <f t="shared" si="41"/>
        <v>0</v>
      </c>
      <c r="BM97" s="87">
        <f t="shared" si="42"/>
        <v>0</v>
      </c>
    </row>
    <row r="98" spans="2:66" x14ac:dyDescent="0.25">
      <c r="B98" s="199" t="str">
        <f>"Main Capacitor Fuse: "&amp;ROUND(D34,0)&amp;" (Minimum Amps)"</f>
        <v>Main Capacitor Fuse: 42 (Minimum Amps)</v>
      </c>
      <c r="C98" s="143"/>
      <c r="D98" s="143"/>
      <c r="E98" s="143"/>
      <c r="G98" s="143"/>
      <c r="H98" s="138">
        <f>J71</f>
        <v>17</v>
      </c>
      <c r="I98" s="203">
        <f>J72*K86</f>
        <v>0</v>
      </c>
      <c r="J98" s="143"/>
      <c r="K98" s="150" t="s">
        <v>239</v>
      </c>
      <c r="L98" s="98" t="s">
        <v>238</v>
      </c>
      <c r="Q98" s="143"/>
      <c r="R98" s="156" t="s">
        <v>141</v>
      </c>
      <c r="S98" s="143"/>
      <c r="T98" s="143">
        <f>T92*T92</f>
        <v>2146.5637975144596</v>
      </c>
      <c r="U98" s="143">
        <f t="shared" ref="U98:AI98" si="44">U92*U92</f>
        <v>0</v>
      </c>
      <c r="V98" s="143">
        <f t="shared" si="44"/>
        <v>9604</v>
      </c>
      <c r="W98" s="143">
        <f t="shared" si="44"/>
        <v>0</v>
      </c>
      <c r="X98" s="143">
        <f t="shared" si="44"/>
        <v>0</v>
      </c>
      <c r="Y98" s="143">
        <f t="shared" si="44"/>
        <v>0</v>
      </c>
      <c r="Z98" s="143">
        <f t="shared" si="44"/>
        <v>0</v>
      </c>
      <c r="AA98" s="143">
        <f t="shared" si="44"/>
        <v>0</v>
      </c>
      <c r="AB98" s="143">
        <f t="shared" si="44"/>
        <v>0</v>
      </c>
      <c r="AC98" s="143">
        <f t="shared" si="44"/>
        <v>0</v>
      </c>
      <c r="AD98" s="143">
        <f t="shared" si="44"/>
        <v>0</v>
      </c>
      <c r="AE98" s="143">
        <f t="shared" si="44"/>
        <v>0</v>
      </c>
      <c r="AF98" s="143">
        <f t="shared" si="44"/>
        <v>0</v>
      </c>
      <c r="AG98" s="143">
        <f t="shared" si="44"/>
        <v>0</v>
      </c>
      <c r="AH98" s="143">
        <f t="shared" si="44"/>
        <v>0</v>
      </c>
      <c r="AI98" s="143">
        <f t="shared" si="44"/>
        <v>0</v>
      </c>
      <c r="AJ98" s="143"/>
      <c r="AK98" s="143" t="s">
        <v>149</v>
      </c>
      <c r="AL98" s="143"/>
      <c r="AM98" s="143">
        <f>SQRT(SUM(T98:AI98))</f>
        <v>108.40001751620919</v>
      </c>
      <c r="AO98" s="87">
        <f t="shared" si="13"/>
        <v>19.799999999999962</v>
      </c>
      <c r="AP98" s="126" t="str">
        <f t="shared" si="14"/>
        <v>0.0001-17.2916817478221i</v>
      </c>
      <c r="AQ98" s="105" t="str">
        <f t="shared" si="15"/>
        <v>0.000000001</v>
      </c>
      <c r="AR98" s="105" t="str">
        <f t="shared" si="16"/>
        <v>0.154991081306871+306.882340987603i</v>
      </c>
      <c r="AS98" s="93" t="str">
        <f t="shared" si="17"/>
        <v>9999999999+9999999i</v>
      </c>
      <c r="AU98" s="87" t="str">
        <f t="shared" si="12"/>
        <v>0.154991082306871+306.882340987603i</v>
      </c>
      <c r="AV98" s="87" t="str">
        <f t="shared" si="18"/>
        <v>-1518912280.07997+3068824959479.82i</v>
      </c>
      <c r="AW98" s="87" t="str">
        <f t="shared" si="19"/>
        <v>9999999999.15499+10000305.882341i</v>
      </c>
      <c r="AX98" s="87" t="str">
        <f t="shared" si="20"/>
        <v>0.15500049996266+306.882340968673i</v>
      </c>
      <c r="AY98" s="87" t="str">
        <f t="shared" si="21"/>
        <v>0.15510049996266+289.590659220851i</v>
      </c>
      <c r="AZ98" s="87">
        <f t="shared" si="22"/>
        <v>19.799999999999962</v>
      </c>
      <c r="BA98" s="87">
        <f t="shared" si="23"/>
        <v>289.59070075562192</v>
      </c>
      <c r="BL98" s="104">
        <f t="shared" si="41"/>
        <v>0</v>
      </c>
      <c r="BM98" s="87">
        <f t="shared" si="42"/>
        <v>0</v>
      </c>
    </row>
    <row r="99" spans="2:66" ht="17.25" x14ac:dyDescent="0.25">
      <c r="B99" s="143"/>
      <c r="C99" s="143"/>
      <c r="D99" s="143"/>
      <c r="E99" s="143"/>
      <c r="F99" s="143"/>
      <c r="G99" s="143"/>
      <c r="H99" s="205">
        <f>K71</f>
        <v>19</v>
      </c>
      <c r="I99" s="206">
        <f>K72*K86</f>
        <v>0</v>
      </c>
      <c r="J99" s="143"/>
      <c r="K99" s="150" t="s">
        <v>230</v>
      </c>
      <c r="L99" s="98" t="s">
        <v>234</v>
      </c>
      <c r="Q99" s="143"/>
      <c r="R99" s="28" t="s">
        <v>186</v>
      </c>
      <c r="T99" s="87">
        <f>$D$24/$D$26*T94*T94</f>
        <v>332.69824407094882</v>
      </c>
      <c r="U99" s="87">
        <f t="shared" ref="U99:AI99" si="45">$D$24/$D$26*U94*U94</f>
        <v>0</v>
      </c>
      <c r="V99" s="87">
        <f t="shared" si="45"/>
        <v>1488.5343448711865</v>
      </c>
      <c r="W99" s="87">
        <f t="shared" si="45"/>
        <v>0</v>
      </c>
      <c r="X99" s="87">
        <f t="shared" si="45"/>
        <v>0</v>
      </c>
      <c r="Y99" s="87">
        <f t="shared" si="45"/>
        <v>0</v>
      </c>
      <c r="Z99" s="87">
        <f t="shared" si="45"/>
        <v>0</v>
      </c>
      <c r="AA99" s="87">
        <f t="shared" si="45"/>
        <v>0</v>
      </c>
      <c r="AB99" s="87">
        <f t="shared" si="45"/>
        <v>0</v>
      </c>
      <c r="AC99" s="87">
        <f t="shared" si="45"/>
        <v>0</v>
      </c>
      <c r="AD99" s="87">
        <f t="shared" si="45"/>
        <v>0</v>
      </c>
      <c r="AE99" s="87">
        <f t="shared" si="45"/>
        <v>0</v>
      </c>
      <c r="AF99" s="87">
        <f t="shared" si="45"/>
        <v>0</v>
      </c>
      <c r="AG99" s="87">
        <f t="shared" si="45"/>
        <v>0</v>
      </c>
      <c r="AH99" s="87">
        <f t="shared" si="45"/>
        <v>0</v>
      </c>
      <c r="AI99" s="87">
        <f t="shared" si="45"/>
        <v>0</v>
      </c>
      <c r="AJ99" s="143"/>
      <c r="AK99" s="143"/>
      <c r="AL99" s="143"/>
      <c r="AM99" s="143"/>
      <c r="AO99" s="87">
        <f t="shared" si="13"/>
        <v>19.999999999999961</v>
      </c>
      <c r="AP99" s="126" t="str">
        <f t="shared" si="14"/>
        <v>0.0001-17.1187649303439i</v>
      </c>
      <c r="AQ99" s="105" t="str">
        <f t="shared" si="15"/>
        <v>0.000000001</v>
      </c>
      <c r="AR99" s="105" t="str">
        <f t="shared" si="16"/>
        <v>0.154991081306871+309.982162613741i</v>
      </c>
      <c r="AS99" s="93" t="str">
        <f t="shared" si="17"/>
        <v>9999999999+9999999i</v>
      </c>
      <c r="AU99" s="87" t="str">
        <f t="shared" si="12"/>
        <v>0.154991082306871+309.982162613741i</v>
      </c>
      <c r="AV99" s="87" t="str">
        <f t="shared" si="18"/>
        <v>-1549910493.24153+3099823175738.1i</v>
      </c>
      <c r="AW99" s="87" t="str">
        <f t="shared" si="19"/>
        <v>9999999999.15499+10000308.9821626i</v>
      </c>
      <c r="AX99" s="87" t="str">
        <f t="shared" si="20"/>
        <v>0.155000691179365+309.982162594523i</v>
      </c>
      <c r="AY99" s="87" t="str">
        <f t="shared" si="21"/>
        <v>0.155100691179365+292.863397664179i</v>
      </c>
      <c r="AZ99" s="87">
        <f t="shared" si="22"/>
        <v>19.999999999999961</v>
      </c>
      <c r="BA99" s="87">
        <f t="shared" si="23"/>
        <v>292.86343873490159</v>
      </c>
      <c r="BL99" s="104">
        <f t="shared" si="41"/>
        <v>0</v>
      </c>
      <c r="BM99" s="87">
        <f t="shared" si="42"/>
        <v>0</v>
      </c>
    </row>
    <row r="100" spans="2:66" x14ac:dyDescent="0.25">
      <c r="B100" s="143"/>
      <c r="C100" s="143"/>
      <c r="D100" s="143"/>
      <c r="E100" s="143"/>
      <c r="F100" s="143"/>
      <c r="G100" s="143"/>
      <c r="H100" s="138">
        <f>D77</f>
        <v>23</v>
      </c>
      <c r="I100" s="204">
        <f>D78*K86</f>
        <v>0</v>
      </c>
      <c r="J100" s="143"/>
      <c r="K100" s="213" t="s">
        <v>244</v>
      </c>
      <c r="L100" s="98" t="s">
        <v>245</v>
      </c>
      <c r="Q100" s="143"/>
      <c r="R100" s="143"/>
      <c r="S100" s="143"/>
      <c r="T100" s="143"/>
      <c r="U100" s="143"/>
      <c r="V100" s="143"/>
      <c r="W100" s="143"/>
      <c r="X100" s="143"/>
      <c r="Y100" s="143"/>
      <c r="Z100" s="143"/>
      <c r="AA100" s="143"/>
      <c r="AB100" s="143"/>
      <c r="AC100" s="143"/>
      <c r="AD100" s="143"/>
      <c r="AE100" s="143"/>
      <c r="AF100" s="143"/>
      <c r="AG100" s="143"/>
      <c r="AH100" s="143"/>
      <c r="AI100" s="143"/>
      <c r="AJ100" s="143"/>
      <c r="AK100" s="143"/>
      <c r="AL100" s="143"/>
      <c r="AM100" s="143"/>
      <c r="AO100" s="87">
        <f t="shared" si="13"/>
        <v>20.19999999999996</v>
      </c>
      <c r="AP100" s="126" t="str">
        <f t="shared" si="14"/>
        <v>0.0001-16.9492722082613i</v>
      </c>
      <c r="AQ100" s="105" t="str">
        <f t="shared" si="15"/>
        <v>0.000000001</v>
      </c>
      <c r="AR100" s="105" t="str">
        <f t="shared" si="16"/>
        <v>0.154991081306871+313.081984239878i</v>
      </c>
      <c r="AS100" s="93" t="str">
        <f t="shared" si="17"/>
        <v>9999999999+9999999i</v>
      </c>
      <c r="AU100" s="87" t="str">
        <f t="shared" si="12"/>
        <v>0.154991082306871+313.081984239878i</v>
      </c>
      <c r="AV100" s="87" t="str">
        <f t="shared" si="18"/>
        <v>-1580908706.40308+3130821391996.37i</v>
      </c>
      <c r="AW100" s="87" t="str">
        <f t="shared" si="19"/>
        <v>9999999999.15499+10000312.0819842i</v>
      </c>
      <c r="AX100" s="87" t="str">
        <f t="shared" si="20"/>
        <v>0.155000884317846+313.081984220371i</v>
      </c>
      <c r="AY100" s="87" t="str">
        <f t="shared" si="21"/>
        <v>0.155100884317846+296.13271201211i</v>
      </c>
      <c r="AZ100" s="87">
        <f t="shared" si="22"/>
        <v>20.19999999999996</v>
      </c>
      <c r="BA100" s="87">
        <f t="shared" si="23"/>
        <v>296.13275262951174</v>
      </c>
      <c r="BL100" s="104">
        <f t="shared" si="41"/>
        <v>0</v>
      </c>
      <c r="BM100" s="87">
        <f t="shared" si="42"/>
        <v>0</v>
      </c>
    </row>
    <row r="101" spans="2:66" x14ac:dyDescent="0.25">
      <c r="B101" s="143"/>
      <c r="C101" s="143"/>
      <c r="D101" s="143"/>
      <c r="E101" s="143"/>
      <c r="F101" s="143"/>
      <c r="G101" s="143"/>
      <c r="H101" s="205">
        <f>E77</f>
        <v>25</v>
      </c>
      <c r="I101" s="206">
        <f>E78*K86</f>
        <v>0</v>
      </c>
      <c r="J101" s="143"/>
      <c r="K101" s="213" t="s">
        <v>246</v>
      </c>
      <c r="L101" s="98" t="s">
        <v>247</v>
      </c>
      <c r="Q101" s="143"/>
      <c r="R101" s="143"/>
      <c r="S101" s="143"/>
      <c r="T101" s="143"/>
      <c r="U101" s="143"/>
      <c r="V101" s="143"/>
      <c r="W101" s="143"/>
      <c r="X101" s="143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3"/>
      <c r="AM101" s="143"/>
      <c r="AO101" s="87">
        <f t="shared" si="13"/>
        <v>20.399999999999959</v>
      </c>
      <c r="AP101" s="126" t="str">
        <f t="shared" si="14"/>
        <v>0.0001-16.7831028728862i</v>
      </c>
      <c r="AQ101" s="105" t="str">
        <f t="shared" si="15"/>
        <v>0.000000001</v>
      </c>
      <c r="AR101" s="105" t="str">
        <f t="shared" si="16"/>
        <v>0.154991081306871+316.181805866016i</v>
      </c>
      <c r="AS101" s="93" t="str">
        <f t="shared" si="17"/>
        <v>9999999999+9999999i</v>
      </c>
      <c r="AU101" s="87" t="str">
        <f t="shared" si="12"/>
        <v>0.154991082306871+316.181805866016i</v>
      </c>
      <c r="AV101" s="87" t="str">
        <f t="shared" si="18"/>
        <v>-1611906919.56464+3161819608254.65i</v>
      </c>
      <c r="AW101" s="87" t="str">
        <f t="shared" si="19"/>
        <v>9999999999.15499+10000315.1818059i</v>
      </c>
      <c r="AX101" s="87" t="str">
        <f t="shared" si="20"/>
        <v>0.155001079378108+316.181805846218i</v>
      </c>
      <c r="AY101" s="87" t="str">
        <f t="shared" si="21"/>
        <v>0.155101079378108+299.398702973332i</v>
      </c>
      <c r="AZ101" s="87">
        <f t="shared" si="22"/>
        <v>20.399999999999959</v>
      </c>
      <c r="BA101" s="87">
        <f t="shared" si="23"/>
        <v>299.39874314775989</v>
      </c>
      <c r="BL101" s="104">
        <f t="shared" si="41"/>
        <v>0</v>
      </c>
      <c r="BM101" s="87">
        <f t="shared" si="42"/>
        <v>0</v>
      </c>
    </row>
    <row r="102" spans="2:66" x14ac:dyDescent="0.25">
      <c r="B102" s="200" t="str">
        <f>"Main Capacitor: Qty("&amp;D31*3&amp;"), "&amp;ROUND(D32,0)&amp;" kvar, "&amp;D29&amp;" kV, "&amp;ROUND(K32,2)&amp;" µF/Can"</f>
        <v>Main Capacitor: Qty(6), 422 kvar, 17 kV, 3.87 µF/Can</v>
      </c>
      <c r="C102" s="143"/>
      <c r="D102" s="143"/>
      <c r="E102" s="143"/>
      <c r="G102" s="143"/>
      <c r="H102" s="138">
        <f>F77</f>
        <v>29</v>
      </c>
      <c r="I102" s="203">
        <f>F78*K86</f>
        <v>0</v>
      </c>
      <c r="J102" s="143"/>
      <c r="K102" s="150" t="s">
        <v>231</v>
      </c>
      <c r="L102" s="98" t="s">
        <v>250</v>
      </c>
      <c r="AO102" s="87">
        <f t="shared" si="13"/>
        <v>20.599999999999959</v>
      </c>
      <c r="AP102" s="126" t="str">
        <f t="shared" si="14"/>
        <v>0.0001-16.6201601265475i</v>
      </c>
      <c r="AQ102" s="105" t="str">
        <f t="shared" si="15"/>
        <v>0.000000001</v>
      </c>
      <c r="AR102" s="105" t="str">
        <f t="shared" si="16"/>
        <v>0.154991081306871+319.281627492153i</v>
      </c>
      <c r="AS102" s="93" t="str">
        <f t="shared" si="17"/>
        <v>9999999999+9999999i</v>
      </c>
      <c r="AU102" s="87" t="str">
        <f t="shared" si="12"/>
        <v>0.154991082306871+319.281627492153i</v>
      </c>
      <c r="AV102" s="87" t="str">
        <f t="shared" si="18"/>
        <v>-1642905132.72618+3192817824512.92i</v>
      </c>
      <c r="AW102" s="87" t="str">
        <f t="shared" si="19"/>
        <v>9999999999.15499+10000318.2816275i</v>
      </c>
      <c r="AX102" s="87" t="str">
        <f t="shared" si="20"/>
        <v>0.155001276360144+319.281627472062i</v>
      </c>
      <c r="AY102" s="87" t="str">
        <f t="shared" si="21"/>
        <v>0.155101276360144+302.661467345514i</v>
      </c>
      <c r="AZ102" s="87">
        <f t="shared" si="22"/>
        <v>20.599999999999959</v>
      </c>
      <c r="BA102" s="87">
        <f t="shared" si="23"/>
        <v>302.66150708695272</v>
      </c>
      <c r="BL102" s="104">
        <f t="shared" si="41"/>
        <v>0</v>
      </c>
      <c r="BM102" s="87">
        <f t="shared" si="42"/>
        <v>0</v>
      </c>
    </row>
    <row r="103" spans="2:66" x14ac:dyDescent="0.25">
      <c r="B103" s="143"/>
      <c r="C103" s="143"/>
      <c r="D103" s="152"/>
      <c r="E103" s="143"/>
      <c r="F103" s="152"/>
      <c r="G103" s="143"/>
      <c r="H103" s="205">
        <f>G77</f>
        <v>31</v>
      </c>
      <c r="I103" s="206">
        <f>G78*K86</f>
        <v>0</v>
      </c>
      <c r="J103" s="143"/>
      <c r="K103" s="150" t="s">
        <v>232</v>
      </c>
      <c r="L103" s="98" t="s">
        <v>235</v>
      </c>
      <c r="AO103" s="87">
        <f t="shared" si="13"/>
        <v>20.799999999999958</v>
      </c>
      <c r="AP103" s="126" t="str">
        <f t="shared" si="14"/>
        <v>0.0001-16.4603508945615i</v>
      </c>
      <c r="AQ103" s="105" t="str">
        <f t="shared" si="15"/>
        <v>0.000000001</v>
      </c>
      <c r="AR103" s="105" t="str">
        <f t="shared" si="16"/>
        <v>0.154991081306871+322.38144911829i</v>
      </c>
      <c r="AS103" s="93" t="str">
        <f t="shared" si="17"/>
        <v>9999999999+9999999i</v>
      </c>
      <c r="AU103" s="87" t="str">
        <f t="shared" si="12"/>
        <v>0.154991082306871+322.38144911829i</v>
      </c>
      <c r="AV103" s="87" t="str">
        <f t="shared" si="18"/>
        <v>-1673903345.88773+3223816040771.19i</v>
      </c>
      <c r="AW103" s="87" t="str">
        <f t="shared" si="19"/>
        <v>9999999999.15499+10000321.3814491i</v>
      </c>
      <c r="AX103" s="87" t="str">
        <f t="shared" si="20"/>
        <v>0.155001475263956+322.381449097904i</v>
      </c>
      <c r="AY103" s="87" t="str">
        <f t="shared" si="21"/>
        <v>0.155101475263956+305.921098203343i</v>
      </c>
      <c r="AZ103" s="87">
        <f t="shared" si="22"/>
        <v>20.799999999999958</v>
      </c>
      <c r="BA103" s="87">
        <f t="shared" si="23"/>
        <v>305.92113752143223</v>
      </c>
      <c r="BL103" s="104">
        <f t="shared" si="41"/>
        <v>0</v>
      </c>
      <c r="BM103" s="87">
        <f t="shared" si="42"/>
        <v>0</v>
      </c>
    </row>
    <row r="104" spans="2:66" x14ac:dyDescent="0.25">
      <c r="B104" s="143"/>
      <c r="C104" s="143"/>
      <c r="D104" s="198"/>
      <c r="E104" s="161"/>
      <c r="F104" s="198"/>
      <c r="G104" s="143"/>
      <c r="H104" s="90">
        <f>H77</f>
        <v>35</v>
      </c>
      <c r="I104" s="203">
        <f>H78*K86</f>
        <v>0</v>
      </c>
      <c r="J104" s="143"/>
      <c r="K104" s="150" t="s">
        <v>237</v>
      </c>
      <c r="L104" s="214" t="s">
        <v>249</v>
      </c>
      <c r="AO104" s="87">
        <f t="shared" si="13"/>
        <v>20.999999999999957</v>
      </c>
      <c r="AP104" s="126" t="str">
        <f t="shared" si="14"/>
        <v>0.0001-16.3035856479466i</v>
      </c>
      <c r="AQ104" s="105" t="str">
        <f t="shared" si="15"/>
        <v>0.000000001</v>
      </c>
      <c r="AR104" s="105" t="str">
        <f t="shared" si="16"/>
        <v>0.154991081306871+325.481270744428i</v>
      </c>
      <c r="AS104" s="93" t="str">
        <f t="shared" si="17"/>
        <v>9999999999+9999999i</v>
      </c>
      <c r="AU104" s="87" t="str">
        <f t="shared" si="12"/>
        <v>0.154991082306871+325.481270744428i</v>
      </c>
      <c r="AV104" s="87" t="str">
        <f t="shared" si="18"/>
        <v>-1704901559.04929+3254814257029.47i</v>
      </c>
      <c r="AW104" s="87" t="str">
        <f t="shared" si="19"/>
        <v>9999999999.15499+10000324.4812707i</v>
      </c>
      <c r="AX104" s="87" t="str">
        <f t="shared" si="20"/>
        <v>0.155001676089545+325.481270723745i</v>
      </c>
      <c r="AY104" s="87" t="str">
        <f t="shared" si="21"/>
        <v>0.155101676089545+309.177685075798i</v>
      </c>
      <c r="AZ104" s="87">
        <f t="shared" si="22"/>
        <v>20.999999999999957</v>
      </c>
      <c r="BA104" s="87">
        <f t="shared" si="23"/>
        <v>309.17772397984828</v>
      </c>
      <c r="BL104" s="104">
        <f t="shared" si="41"/>
        <v>0</v>
      </c>
      <c r="BM104" s="87">
        <f t="shared" si="42"/>
        <v>0</v>
      </c>
    </row>
    <row r="105" spans="2:66" x14ac:dyDescent="0.25">
      <c r="B105" s="270" t="str">
        <f>D8&amp;"kV, "&amp;D11&amp;"Hz Notch-Filter, Wye-Connected"</f>
        <v>26.2kV, 60Hz Notch-Filter, Wye-Connected</v>
      </c>
      <c r="C105" s="143"/>
      <c r="D105" s="161"/>
      <c r="F105" s="161"/>
      <c r="G105" s="143"/>
      <c r="H105" s="205">
        <f>I77</f>
        <v>37</v>
      </c>
      <c r="I105" s="206">
        <f>I78*K86</f>
        <v>0</v>
      </c>
      <c r="J105" s="143"/>
      <c r="AO105" s="87">
        <f t="shared" si="13"/>
        <v>21.199999999999957</v>
      </c>
      <c r="AP105" s="126" t="str">
        <f t="shared" si="14"/>
        <v>0.0001-16.1497782361735i</v>
      </c>
      <c r="AQ105" s="105" t="str">
        <f t="shared" si="15"/>
        <v>0.000000001</v>
      </c>
      <c r="AR105" s="105" t="str">
        <f t="shared" si="16"/>
        <v>0.154991081306871+328.581092370565i</v>
      </c>
      <c r="AS105" s="93" t="str">
        <f t="shared" si="17"/>
        <v>9999999999+9999999i</v>
      </c>
      <c r="AU105" s="87" t="str">
        <f t="shared" si="12"/>
        <v>0.154991082306871+328.581092370565i</v>
      </c>
      <c r="AV105" s="87" t="str">
        <f t="shared" si="18"/>
        <v>-1735899772.21084+3285812473287.74i</v>
      </c>
      <c r="AW105" s="87" t="str">
        <f t="shared" si="19"/>
        <v>9999999999.15499+10000327.5810924i</v>
      </c>
      <c r="AX105" s="87" t="str">
        <f t="shared" si="20"/>
        <v>0.155001878836914+328.581092349583i</v>
      </c>
      <c r="AY105" s="87" t="str">
        <f t="shared" si="21"/>
        <v>0.155101878836914+312.431314113409i</v>
      </c>
      <c r="AZ105" s="87">
        <f t="shared" si="22"/>
        <v>21.199999999999957</v>
      </c>
      <c r="BA105" s="87">
        <f t="shared" si="23"/>
        <v>312.43135261241702</v>
      </c>
      <c r="BL105" s="104">
        <f t="shared" si="41"/>
        <v>0</v>
      </c>
      <c r="BM105" s="87">
        <f t="shared" si="42"/>
        <v>0</v>
      </c>
    </row>
    <row r="106" spans="2:66" x14ac:dyDescent="0.25">
      <c r="B106" s="271" t="str">
        <f>FIXED(D9/1000,2)&amp;" MVAR 3-Phase, "&amp;FIXED(D10,1)&amp;" Tuning"</f>
        <v>2.10 MVAR 3-Phase, 4.7 Tuning</v>
      </c>
      <c r="C106" s="143"/>
      <c r="D106" s="143"/>
      <c r="F106" s="143"/>
      <c r="G106" s="143"/>
      <c r="H106" s="138">
        <f>J77</f>
        <v>41</v>
      </c>
      <c r="I106" s="203">
        <f>J78*K86</f>
        <v>0</v>
      </c>
      <c r="J106" s="143"/>
      <c r="AO106" s="87">
        <f t="shared" si="13"/>
        <v>21.399999999999956</v>
      </c>
      <c r="AP106" s="126" t="str">
        <f t="shared" si="14"/>
        <v>0.0001-15.9988457292934i</v>
      </c>
      <c r="AQ106" s="105" t="str">
        <f t="shared" si="15"/>
        <v>0.000000001</v>
      </c>
      <c r="AR106" s="105" t="str">
        <f t="shared" si="16"/>
        <v>0.154991081306871+331.680913996703i</v>
      </c>
      <c r="AS106" s="93" t="str">
        <f t="shared" si="17"/>
        <v>9999999999+9999999i</v>
      </c>
      <c r="AU106" s="87" t="str">
        <f t="shared" si="12"/>
        <v>0.154991082306871+331.680913996703i</v>
      </c>
      <c r="AV106" s="87" t="str">
        <f t="shared" si="18"/>
        <v>-1766897985.3724+3316810689546.02i</v>
      </c>
      <c r="AW106" s="87" t="str">
        <f t="shared" si="19"/>
        <v>9999999999.15499+10000330.680914i</v>
      </c>
      <c r="AX106" s="87" t="str">
        <f t="shared" si="20"/>
        <v>0.155002083506057+331.68091397542i</v>
      </c>
      <c r="AY106" s="87" t="str">
        <f t="shared" si="21"/>
        <v>0.155102083506057+315.682068246127i</v>
      </c>
      <c r="AZ106" s="87">
        <f t="shared" si="22"/>
        <v>21.399999999999956</v>
      </c>
      <c r="BA106" s="87">
        <f t="shared" si="23"/>
        <v>315.68210634878989</v>
      </c>
      <c r="BL106" s="104">
        <f t="shared" si="41"/>
        <v>0</v>
      </c>
      <c r="BM106" s="87">
        <f t="shared" si="42"/>
        <v>0</v>
      </c>
    </row>
    <row r="107" spans="2:66" x14ac:dyDescent="0.25">
      <c r="H107" s="205">
        <f>K77</f>
        <v>43</v>
      </c>
      <c r="I107" s="208">
        <f>K78*K86</f>
        <v>0</v>
      </c>
      <c r="AO107" s="87">
        <f t="shared" si="13"/>
        <v>21.599999999999955</v>
      </c>
      <c r="AP107" s="126" t="str">
        <f t="shared" si="14"/>
        <v>0.0001-15.850708268837i</v>
      </c>
      <c r="AQ107" s="105" t="str">
        <f t="shared" si="15"/>
        <v>0.000000001</v>
      </c>
      <c r="AR107" s="105" t="str">
        <f t="shared" si="16"/>
        <v>0.154991081306871+334.78073562284i</v>
      </c>
      <c r="AS107" s="93" t="str">
        <f t="shared" si="17"/>
        <v>9999999999+9999999i</v>
      </c>
      <c r="AU107" s="87" t="str">
        <f t="shared" si="12"/>
        <v>0.154991082306871+334.78073562284i</v>
      </c>
      <c r="AV107" s="87" t="str">
        <f t="shared" si="18"/>
        <v>-1797896198.53395+3347808905804.29i</v>
      </c>
      <c r="AW107" s="87" t="str">
        <f t="shared" si="19"/>
        <v>9999999999.15499+10000333.7807356i</v>
      </c>
      <c r="AX107" s="87" t="str">
        <f t="shared" si="20"/>
        <v>0.155002290096977+334.780735601255i</v>
      </c>
      <c r="AY107" s="87" t="str">
        <f t="shared" si="21"/>
        <v>0.155102290096977+318.930027332418i</v>
      </c>
      <c r="AZ107" s="87">
        <f t="shared" si="22"/>
        <v>21.599999999999955</v>
      </c>
      <c r="BA107" s="87">
        <f t="shared" si="23"/>
        <v>318.9300650471468</v>
      </c>
      <c r="BL107" s="104">
        <f t="shared" si="41"/>
        <v>0</v>
      </c>
      <c r="BM107" s="87">
        <f t="shared" si="42"/>
        <v>0</v>
      </c>
    </row>
    <row r="108" spans="2:66" ht="15.75" thickBot="1" x14ac:dyDescent="0.3">
      <c r="H108" s="209" t="s">
        <v>226</v>
      </c>
      <c r="I108" s="210">
        <f>BM109</f>
        <v>162.60002627431379</v>
      </c>
      <c r="J108" s="87" t="s">
        <v>0</v>
      </c>
      <c r="AO108" s="87">
        <f t="shared" si="13"/>
        <v>21.799999999999955</v>
      </c>
      <c r="AP108" s="126" t="str">
        <f t="shared" si="14"/>
        <v>0.0001-15.705288926921i</v>
      </c>
      <c r="AQ108" s="105" t="str">
        <f t="shared" si="15"/>
        <v>0.000000001</v>
      </c>
      <c r="AR108" s="105" t="str">
        <f t="shared" si="16"/>
        <v>0.154991081306871+337.880557248977i</v>
      </c>
      <c r="AS108" s="93" t="str">
        <f t="shared" si="17"/>
        <v>9999999999+9999999i</v>
      </c>
      <c r="AU108" s="87" t="str">
        <f t="shared" si="12"/>
        <v>0.154991082306871+337.880557248977i</v>
      </c>
      <c r="AV108" s="87" t="str">
        <f t="shared" si="18"/>
        <v>-1828894411.69549+3378807122062.56i</v>
      </c>
      <c r="AW108" s="87" t="str">
        <f t="shared" si="19"/>
        <v>9999999999.15499+10000336.8805572i</v>
      </c>
      <c r="AX108" s="87" t="str">
        <f t="shared" si="20"/>
        <v>0.155002498609674+337.880557227087i</v>
      </c>
      <c r="AY108" s="87" t="str">
        <f t="shared" si="21"/>
        <v>0.155102498609674+322.175268300166i</v>
      </c>
      <c r="AZ108" s="87">
        <f t="shared" si="22"/>
        <v>21.799999999999955</v>
      </c>
      <c r="BA108" s="87">
        <f t="shared" si="23"/>
        <v>322.17530563509831</v>
      </c>
      <c r="BL108" s="104"/>
      <c r="BM108" s="87">
        <f>SUM(BM92:BM107)</f>
        <v>26438.768544407536</v>
      </c>
    </row>
    <row r="109" spans="2:66" ht="15.75" thickTop="1" x14ac:dyDescent="0.25">
      <c r="AO109" s="87">
        <f t="shared" si="13"/>
        <v>21.999999999999954</v>
      </c>
      <c r="AP109" s="126" t="str">
        <f t="shared" si="14"/>
        <v>0.0001-15.5625135730399i</v>
      </c>
      <c r="AQ109" s="105" t="str">
        <f t="shared" si="15"/>
        <v>0.000000001</v>
      </c>
      <c r="AR109" s="105" t="str">
        <f t="shared" si="16"/>
        <v>0.154991081306871+340.980378875115i</v>
      </c>
      <c r="AS109" s="93" t="str">
        <f t="shared" si="17"/>
        <v>9999999999+9999999i</v>
      </c>
      <c r="AU109" s="87" t="str">
        <f t="shared" si="12"/>
        <v>0.154991082306871+340.980378875115i</v>
      </c>
      <c r="AV109" s="87" t="str">
        <f t="shared" si="18"/>
        <v>-1859892624.85705+3409805338320.84i</v>
      </c>
      <c r="AW109" s="87" t="str">
        <f t="shared" si="19"/>
        <v>9999999999.15499+10000339.9803789i</v>
      </c>
      <c r="AX109" s="87" t="str">
        <f t="shared" si="20"/>
        <v>0.155002709044151+340.980378852918i</v>
      </c>
      <c r="AY109" s="87" t="str">
        <f t="shared" si="21"/>
        <v>0.155102709044151+325.417865279878i</v>
      </c>
      <c r="AZ109" s="87">
        <f t="shared" si="22"/>
        <v>21.999999999999954</v>
      </c>
      <c r="BA109" s="87">
        <f t="shared" si="23"/>
        <v>325.41790224289014</v>
      </c>
      <c r="BL109" s="104"/>
      <c r="BM109" s="87">
        <f>SQRT(BM108)</f>
        <v>162.60002627431379</v>
      </c>
      <c r="BN109" s="87" t="s">
        <v>227</v>
      </c>
    </row>
    <row r="110" spans="2:66" x14ac:dyDescent="0.25">
      <c r="B110" s="74" t="s">
        <v>21</v>
      </c>
      <c r="C110" s="127"/>
      <c r="D110" s="127"/>
      <c r="E110" s="127"/>
      <c r="F110" s="127"/>
      <c r="G110" s="127"/>
      <c r="H110" s="127"/>
      <c r="I110" s="127"/>
      <c r="J110" s="127"/>
      <c r="K110" s="127"/>
      <c r="L110" s="127"/>
      <c r="AO110" s="87">
        <f t="shared" si="13"/>
        <v>22.199999999999953</v>
      </c>
      <c r="AP110" s="126" t="str">
        <f t="shared" si="14"/>
        <v>0.0001-15.4223107480576i</v>
      </c>
      <c r="AQ110" s="105" t="str">
        <f t="shared" si="15"/>
        <v>0.000000001</v>
      </c>
      <c r="AR110" s="105" t="str">
        <f t="shared" si="16"/>
        <v>0.154991081306871+344.080200501252i</v>
      </c>
      <c r="AS110" s="93" t="str">
        <f t="shared" si="17"/>
        <v>9999999999+9999999i</v>
      </c>
      <c r="AU110" s="87" t="str">
        <f t="shared" si="12"/>
        <v>0.154991082306871+344.080200501252i</v>
      </c>
      <c r="AV110" s="87" t="str">
        <f t="shared" si="18"/>
        <v>-1890890838.0186+3440803554579.11i</v>
      </c>
      <c r="AW110" s="87" t="str">
        <f t="shared" si="19"/>
        <v>9999999999.15499+10000343.0802005i</v>
      </c>
      <c r="AX110" s="87" t="str">
        <f t="shared" si="20"/>
        <v>0.155002921400402+344.080200478747i</v>
      </c>
      <c r="AY110" s="87" t="str">
        <f t="shared" si="21"/>
        <v>0.155102921400402+328.657889730689i</v>
      </c>
      <c r="AZ110" s="87">
        <f t="shared" si="22"/>
        <v>22.199999999999953</v>
      </c>
      <c r="BA110" s="87">
        <f t="shared" si="23"/>
        <v>328.65792632940713</v>
      </c>
      <c r="BL110" s="104"/>
    </row>
    <row r="111" spans="2:66" ht="18" x14ac:dyDescent="0.35">
      <c r="B111" s="91" t="s">
        <v>36</v>
      </c>
      <c r="C111" s="87" t="s">
        <v>13</v>
      </c>
      <c r="AO111" s="87">
        <f t="shared" si="13"/>
        <v>22.399999999999952</v>
      </c>
      <c r="AP111" s="126" t="str">
        <f t="shared" si="14"/>
        <v>0.0001-15.2846115449499i</v>
      </c>
      <c r="AQ111" s="105" t="str">
        <f t="shared" si="15"/>
        <v>0.000000001</v>
      </c>
      <c r="AR111" s="105" t="str">
        <f t="shared" si="16"/>
        <v>0.154991081306871+347.18002212739i</v>
      </c>
      <c r="AS111" s="93" t="str">
        <f t="shared" si="17"/>
        <v>9999999999+9999999i</v>
      </c>
      <c r="AU111" s="87" t="str">
        <f t="shared" si="12"/>
        <v>0.154991082306871+347.18002212739i</v>
      </c>
      <c r="AV111" s="87" t="str">
        <f t="shared" si="18"/>
        <v>-1921889051.18016+3471801770837.39i</v>
      </c>
      <c r="AW111" s="87" t="str">
        <f t="shared" si="19"/>
        <v>9999999999.15499+10000346.1800221i</v>
      </c>
      <c r="AX111" s="87" t="str">
        <f t="shared" si="20"/>
        <v>0.155003135678429+347.180022104575i</v>
      </c>
      <c r="AY111" s="87" t="str">
        <f t="shared" si="21"/>
        <v>0.155103135678429+331.895410559625i</v>
      </c>
      <c r="AZ111" s="87">
        <f t="shared" si="22"/>
        <v>22.399999999999952</v>
      </c>
      <c r="BA111" s="87">
        <f t="shared" si="23"/>
        <v>331.89544680143592</v>
      </c>
      <c r="BL111" s="104"/>
    </row>
    <row r="112" spans="2:66" ht="18" x14ac:dyDescent="0.35">
      <c r="B112" s="91" t="s">
        <v>37</v>
      </c>
      <c r="C112" s="87" t="s">
        <v>61</v>
      </c>
      <c r="AO112" s="87">
        <f t="shared" si="13"/>
        <v>22.599999999999952</v>
      </c>
      <c r="AP112" s="126" t="str">
        <f t="shared" si="14"/>
        <v>0.0001-15.1493494958796i</v>
      </c>
      <c r="AQ112" s="105" t="str">
        <f t="shared" si="15"/>
        <v>0.000000001</v>
      </c>
      <c r="AR112" s="105" t="str">
        <f t="shared" si="16"/>
        <v>0.154991081306871+350.279843753527i</v>
      </c>
      <c r="AS112" s="93" t="str">
        <f t="shared" si="17"/>
        <v>9999999999+9999999i</v>
      </c>
      <c r="AU112" s="87" t="str">
        <f t="shared" si="12"/>
        <v>0.154991082306871+350.279843753527i</v>
      </c>
      <c r="AV112" s="87" t="str">
        <f t="shared" si="18"/>
        <v>-1952887264.34171+3502799987095.66i</v>
      </c>
      <c r="AW112" s="87" t="str">
        <f t="shared" si="19"/>
        <v>9999999999.15499+10000349.2798438i</v>
      </c>
      <c r="AX112" s="87" t="str">
        <f t="shared" si="20"/>
        <v>0.155003351878237+350.279843730399i</v>
      </c>
      <c r="AY112" s="87" t="str">
        <f t="shared" si="21"/>
        <v>0.155103351878237+335.130494234519i</v>
      </c>
      <c r="AZ112" s="87">
        <f t="shared" si="22"/>
        <v>22.599999999999952</v>
      </c>
      <c r="BA112" s="87">
        <f t="shared" si="23"/>
        <v>335.13053012658031</v>
      </c>
      <c r="BL112" s="104"/>
    </row>
    <row r="113" spans="2:64" ht="18" x14ac:dyDescent="0.35">
      <c r="B113" s="91" t="s">
        <v>60</v>
      </c>
      <c r="C113" s="87" t="s">
        <v>62</v>
      </c>
      <c r="AO113" s="87">
        <f t="shared" si="13"/>
        <v>22.799999999999951</v>
      </c>
      <c r="AP113" s="126" t="str">
        <f t="shared" si="14"/>
        <v>0.0001-15.016460465214i</v>
      </c>
      <c r="AQ113" s="105" t="str">
        <f t="shared" si="15"/>
        <v>0.000000001</v>
      </c>
      <c r="AR113" s="105" t="str">
        <f t="shared" si="16"/>
        <v>0.154991081306871+353.379665379665i</v>
      </c>
      <c r="AS113" s="93" t="str">
        <f t="shared" si="17"/>
        <v>9999999999+9999999i</v>
      </c>
      <c r="AU113" s="87" t="str">
        <f t="shared" si="12"/>
        <v>0.154991082306871+353.379665379665i</v>
      </c>
      <c r="AV113" s="87" t="str">
        <f t="shared" si="18"/>
        <v>-1983885477.50327+3533798203353.94i</v>
      </c>
      <c r="AW113" s="87" t="str">
        <f t="shared" si="19"/>
        <v>9999999999.15499+10000352.3796654i</v>
      </c>
      <c r="AX113" s="87" t="str">
        <f t="shared" si="20"/>
        <v>0.155003569999818+353.379665356223i</v>
      </c>
      <c r="AY113" s="87" t="str">
        <f t="shared" si="21"/>
        <v>0.155103569999818+338.363204891009i</v>
      </c>
      <c r="AZ113" s="87">
        <f t="shared" si="22"/>
        <v>22.799999999999951</v>
      </c>
      <c r="BA113" s="87">
        <f t="shared" si="23"/>
        <v>338.36324044025872</v>
      </c>
      <c r="BL113" s="104"/>
    </row>
    <row r="114" spans="2:64" ht="18" x14ac:dyDescent="0.35">
      <c r="B114" s="91" t="s">
        <v>28</v>
      </c>
      <c r="C114" s="87" t="s">
        <v>63</v>
      </c>
      <c r="AO114" s="87">
        <f t="shared" si="13"/>
        <v>22.99999999999995</v>
      </c>
      <c r="AP114" s="126" t="str">
        <f t="shared" si="14"/>
        <v>0.0001-14.8858825481251i</v>
      </c>
      <c r="AQ114" s="105" t="str">
        <f t="shared" si="15"/>
        <v>0.000000001</v>
      </c>
      <c r="AR114" s="105" t="str">
        <f t="shared" si="16"/>
        <v>0.154991081306871+356.479487005802i</v>
      </c>
      <c r="AS114" s="93" t="str">
        <f t="shared" si="17"/>
        <v>9999999999+9999999i</v>
      </c>
      <c r="AU114" s="87" t="str">
        <f t="shared" si="12"/>
        <v>0.154991082306871+356.479487005802i</v>
      </c>
      <c r="AV114" s="87" t="str">
        <f t="shared" si="18"/>
        <v>-2014883690.66481+3564796419612.21i</v>
      </c>
      <c r="AW114" s="87" t="str">
        <f t="shared" si="19"/>
        <v>9999999999.15499+10000355.479487i</v>
      </c>
      <c r="AX114" s="87" t="str">
        <f t="shared" si="20"/>
        <v>0.155003790043177+356.479486982044i</v>
      </c>
      <c r="AY114" s="87" t="str">
        <f t="shared" si="21"/>
        <v>0.155103790043177+341.593604433919i</v>
      </c>
      <c r="AZ114" s="87">
        <f t="shared" si="22"/>
        <v>22.99999999999995</v>
      </c>
      <c r="BA114" s="87">
        <f t="shared" si="23"/>
        <v>341.59363964708479</v>
      </c>
      <c r="BL114" s="104"/>
    </row>
    <row r="115" spans="2:64" ht="18" x14ac:dyDescent="0.35">
      <c r="B115" s="91" t="s">
        <v>38</v>
      </c>
      <c r="C115" s="87" t="s">
        <v>14</v>
      </c>
      <c r="AO115" s="87">
        <f t="shared" si="13"/>
        <v>23.19999999999995</v>
      </c>
      <c r="AP115" s="126" t="str">
        <f t="shared" si="14"/>
        <v>0.0001-14.7575559744344i</v>
      </c>
      <c r="AQ115" s="105" t="str">
        <f t="shared" si="15"/>
        <v>0.000000001</v>
      </c>
      <c r="AR115" s="105" t="str">
        <f t="shared" si="16"/>
        <v>0.154991081306871+359.579308631939i</v>
      </c>
      <c r="AS115" s="93" t="str">
        <f t="shared" si="17"/>
        <v>9999999999+9999999i</v>
      </c>
      <c r="AU115" s="87" t="str">
        <f t="shared" si="12"/>
        <v>0.154991082306871+359.579308631939i</v>
      </c>
      <c r="AV115" s="87" t="str">
        <f t="shared" si="18"/>
        <v>-2045881903.82636+3595794635870.48i</v>
      </c>
      <c r="AW115" s="87" t="str">
        <f t="shared" si="19"/>
        <v>9999999999.15499+10000358.5793086i</v>
      </c>
      <c r="AX115" s="87" t="str">
        <f t="shared" si="20"/>
        <v>0.155004012008311+359.579308607863i</v>
      </c>
      <c r="AY115" s="87" t="str">
        <f t="shared" si="21"/>
        <v>0.155104012008311+344.821752633429i</v>
      </c>
      <c r="AZ115" s="87">
        <f t="shared" si="22"/>
        <v>23.19999999999995</v>
      </c>
      <c r="BA115" s="87">
        <f t="shared" si="23"/>
        <v>344.82178751703646</v>
      </c>
      <c r="BL115" s="104"/>
    </row>
    <row r="116" spans="2:64" ht="18" x14ac:dyDescent="0.35">
      <c r="B116" s="91" t="s">
        <v>39</v>
      </c>
      <c r="C116" s="87" t="s">
        <v>15</v>
      </c>
      <c r="AO116" s="87">
        <f t="shared" si="13"/>
        <v>23.399999999999949</v>
      </c>
      <c r="AP116" s="126" t="str">
        <f t="shared" si="14"/>
        <v>0.0001-14.631423017388i</v>
      </c>
      <c r="AQ116" s="105" t="str">
        <f t="shared" si="15"/>
        <v>0.000000001</v>
      </c>
      <c r="AR116" s="105" t="str">
        <f t="shared" si="16"/>
        <v>0.154991081306871+362.679130258077i</v>
      </c>
      <c r="AS116" s="93" t="str">
        <f t="shared" si="17"/>
        <v>9999999999+9999999i</v>
      </c>
      <c r="AU116" s="87" t="str">
        <f t="shared" si="12"/>
        <v>0.154991082306871+362.679130258077i</v>
      </c>
      <c r="AV116" s="87" t="str">
        <f t="shared" si="18"/>
        <v>-2076880116.98792+3626792852128.76i</v>
      </c>
      <c r="AW116" s="87" t="str">
        <f t="shared" si="19"/>
        <v>9999999999.15499+10000361.6791303i</v>
      </c>
      <c r="AX116" s="87" t="str">
        <f t="shared" si="20"/>
        <v>0.155004235895227+362.679130233681i</v>
      </c>
      <c r="AY116" s="87" t="str">
        <f t="shared" si="21"/>
        <v>0.155104235895227+348.047707216293i</v>
      </c>
      <c r="AZ116" s="87">
        <f t="shared" si="22"/>
        <v>23.399999999999949</v>
      </c>
      <c r="BA116" s="87">
        <f t="shared" si="23"/>
        <v>348.04774177667412</v>
      </c>
      <c r="BL116" s="104"/>
    </row>
    <row r="117" spans="2:64" ht="18" x14ac:dyDescent="0.35">
      <c r="B117" s="91" t="s">
        <v>40</v>
      </c>
      <c r="C117" s="87" t="s">
        <v>16</v>
      </c>
      <c r="AO117" s="87">
        <f t="shared" si="13"/>
        <v>23.599999999999948</v>
      </c>
      <c r="AP117" s="126" t="str">
        <f t="shared" si="14"/>
        <v>0.0001-14.5074279070711i</v>
      </c>
      <c r="AQ117" s="105" t="str">
        <f t="shared" si="15"/>
        <v>0.000000001</v>
      </c>
      <c r="AR117" s="105" t="str">
        <f t="shared" si="16"/>
        <v>0.154991081306871+365.778951884214i</v>
      </c>
      <c r="AS117" s="93" t="str">
        <f t="shared" si="17"/>
        <v>9999999999+9999999i</v>
      </c>
      <c r="AU117" s="87" t="str">
        <f t="shared" si="12"/>
        <v>0.154991082306871+365.778951884214i</v>
      </c>
      <c r="AV117" s="87" t="str">
        <f t="shared" si="18"/>
        <v>-2107878330.14947+3657791068387.03i</v>
      </c>
      <c r="AW117" s="87" t="str">
        <f t="shared" si="19"/>
        <v>9999999999.15499+10000364.7789519i</v>
      </c>
      <c r="AX117" s="87" t="str">
        <f t="shared" si="20"/>
        <v>0.155004461703915+365.778951859496i</v>
      </c>
      <c r="AY117" s="87" t="str">
        <f t="shared" si="21"/>
        <v>0.155104461703915+351.271523952425i</v>
      </c>
      <c r="AZ117" s="87">
        <f t="shared" si="22"/>
        <v>23.599999999999948</v>
      </c>
      <c r="BA117" s="87">
        <f t="shared" si="23"/>
        <v>351.27155819572573</v>
      </c>
      <c r="BL117" s="104"/>
    </row>
    <row r="118" spans="2:64" x14ac:dyDescent="0.25">
      <c r="B118" s="91" t="s">
        <v>4</v>
      </c>
      <c r="C118" s="87" t="s">
        <v>20</v>
      </c>
      <c r="AO118" s="87">
        <f t="shared" si="13"/>
        <v>23.799999999999947</v>
      </c>
      <c r="AP118" s="126" t="str">
        <f t="shared" si="14"/>
        <v>0.0001-14.3855167481882i</v>
      </c>
      <c r="AQ118" s="105" t="str">
        <f t="shared" si="15"/>
        <v>0.000000001</v>
      </c>
      <c r="AR118" s="105" t="str">
        <f t="shared" si="16"/>
        <v>0.154991081306871+368.878773510352i</v>
      </c>
      <c r="AS118" s="93" t="str">
        <f t="shared" si="17"/>
        <v>9999999999+9999999i</v>
      </c>
      <c r="AU118" s="87" t="str">
        <f t="shared" si="12"/>
        <v>0.154991082306871+368.878773510352i</v>
      </c>
      <c r="AV118" s="87" t="str">
        <f t="shared" si="18"/>
        <v>-2138876543.31103+3688789284645.31i</v>
      </c>
      <c r="AW118" s="87" t="str">
        <f t="shared" si="19"/>
        <v>9999999999.15499+10000367.8787735i</v>
      </c>
      <c r="AX118" s="87" t="str">
        <f t="shared" si="20"/>
        <v>0.155004689434381+368.87877348531i</v>
      </c>
      <c r="AY118" s="87" t="str">
        <f t="shared" si="21"/>
        <v>0.155104689434381+354.493256737122i</v>
      </c>
      <c r="AZ118" s="87">
        <f t="shared" si="22"/>
        <v>23.799999999999947</v>
      </c>
      <c r="BA118" s="87">
        <f t="shared" si="23"/>
        <v>354.49329066930977</v>
      </c>
      <c r="BL118" s="104"/>
    </row>
    <row r="119" spans="2:64" x14ac:dyDescent="0.25">
      <c r="B119" s="91" t="s">
        <v>7</v>
      </c>
      <c r="C119" s="87" t="s">
        <v>10</v>
      </c>
      <c r="AO119" s="87">
        <f t="shared" si="13"/>
        <v>23.999999999999947</v>
      </c>
      <c r="AP119" s="126" t="str">
        <f t="shared" si="14"/>
        <v>0.0001-14.2656374419533i</v>
      </c>
      <c r="AQ119" s="105" t="str">
        <f t="shared" si="15"/>
        <v>0.000000001</v>
      </c>
      <c r="AR119" s="105" t="str">
        <f t="shared" si="16"/>
        <v>0.154991081306871+371.978595136489i</v>
      </c>
      <c r="AS119" s="93" t="str">
        <f t="shared" si="17"/>
        <v>9999999999+9999999i</v>
      </c>
      <c r="AU119" s="87" t="str">
        <f t="shared" si="12"/>
        <v>0.154991082306871+371.978595136489i</v>
      </c>
      <c r="AV119" s="87" t="str">
        <f t="shared" si="18"/>
        <v>-2169874756.47258+3719787500903.58i</v>
      </c>
      <c r="AW119" s="87" t="str">
        <f t="shared" si="19"/>
        <v>9999999999.15499+10000370.9785951i</v>
      </c>
      <c r="AX119" s="87" t="str">
        <f t="shared" si="20"/>
        <v>0.155004919086623+371.978595111121i</v>
      </c>
      <c r="AY119" s="87" t="str">
        <f t="shared" si="21"/>
        <v>0.155104919086623+357.712957669168i</v>
      </c>
      <c r="AZ119" s="87">
        <f t="shared" si="22"/>
        <v>23.999999999999947</v>
      </c>
      <c r="BA119" s="87">
        <f t="shared" si="23"/>
        <v>357.71299129603881</v>
      </c>
      <c r="BL119" s="104"/>
    </row>
    <row r="120" spans="2:64" x14ac:dyDescent="0.25">
      <c r="B120" s="91" t="s">
        <v>6</v>
      </c>
      <c r="C120" s="87" t="s">
        <v>18</v>
      </c>
      <c r="AO120" s="87">
        <f t="shared" si="13"/>
        <v>24.199999999999946</v>
      </c>
      <c r="AP120" s="126" t="str">
        <f t="shared" si="14"/>
        <v>0.0001-14.1477396118545i</v>
      </c>
      <c r="AQ120" s="105" t="str">
        <f t="shared" si="15"/>
        <v>0.000000001</v>
      </c>
      <c r="AR120" s="105" t="str">
        <f t="shared" si="16"/>
        <v>0.154991081306871+375.078416762626i</v>
      </c>
      <c r="AS120" s="93" t="str">
        <f t="shared" si="17"/>
        <v>9999999999+9999999i</v>
      </c>
      <c r="AU120" s="87" t="str">
        <f t="shared" si="12"/>
        <v>0.154991082306871+375.078416762626i</v>
      </c>
      <c r="AV120" s="87" t="str">
        <f t="shared" si="18"/>
        <v>-2200872969.63412+3750785717161.85i</v>
      </c>
      <c r="AW120" s="87" t="str">
        <f t="shared" si="19"/>
        <v>9999999999.15499+10000374.0784168i</v>
      </c>
      <c r="AX120" s="87" t="str">
        <f t="shared" si="20"/>
        <v>0.155005150660647+375.078416736931i</v>
      </c>
      <c r="AY120" s="87" t="str">
        <f t="shared" si="21"/>
        <v>0.155105150660647+360.930677125076i</v>
      </c>
      <c r="AZ120" s="87">
        <f t="shared" si="22"/>
        <v>24.199999999999946</v>
      </c>
      <c r="BA120" s="87">
        <f t="shared" si="23"/>
        <v>360.9307104522606</v>
      </c>
      <c r="BL120" s="104"/>
    </row>
    <row r="121" spans="2:64" ht="18" x14ac:dyDescent="0.35">
      <c r="B121" s="91" t="s">
        <v>41</v>
      </c>
      <c r="C121" s="87" t="s">
        <v>17</v>
      </c>
      <c r="AO121" s="87">
        <f t="shared" si="13"/>
        <v>24.399999999999945</v>
      </c>
      <c r="AP121" s="126" t="str">
        <f t="shared" si="14"/>
        <v>0.0001-14.0317745330688i</v>
      </c>
      <c r="AQ121" s="105" t="str">
        <f t="shared" si="15"/>
        <v>0.000000001</v>
      </c>
      <c r="AR121" s="105" t="str">
        <f t="shared" si="16"/>
        <v>0.154991081306871+378.178238388764i</v>
      </c>
      <c r="AS121" s="93" t="str">
        <f t="shared" si="17"/>
        <v>9999999999+9999999i</v>
      </c>
      <c r="AU121" s="87" t="str">
        <f t="shared" si="12"/>
        <v>0.154991082306871+378.178238388764i</v>
      </c>
      <c r="AV121" s="87" t="str">
        <f t="shared" si="18"/>
        <v>-2231871182.79568+3781783933420.13i</v>
      </c>
      <c r="AW121" s="87" t="str">
        <f t="shared" si="19"/>
        <v>9999999999.15499+10000377.1782384i</v>
      </c>
      <c r="AX121" s="87" t="str">
        <f t="shared" si="20"/>
        <v>0.155005384156444+378.178238362739i</v>
      </c>
      <c r="AY121" s="87" t="str">
        <f t="shared" si="21"/>
        <v>0.155105384156444+364.14646382967i</v>
      </c>
      <c r="AZ121" s="87">
        <f t="shared" si="22"/>
        <v>24.399999999999945</v>
      </c>
      <c r="BA121" s="87">
        <f t="shared" si="23"/>
        <v>364.1464968626409</v>
      </c>
      <c r="BL121" s="104"/>
    </row>
    <row r="122" spans="2:64" ht="18" x14ac:dyDescent="0.35">
      <c r="B122" s="91" t="s">
        <v>42</v>
      </c>
      <c r="C122" s="87" t="s">
        <v>19</v>
      </c>
      <c r="AO122" s="87">
        <f t="shared" si="13"/>
        <v>24.599999999999945</v>
      </c>
      <c r="AP122" s="126" t="str">
        <f t="shared" si="14"/>
        <v>0.0001-13.9176950653203i</v>
      </c>
      <c r="AQ122" s="105" t="str">
        <f t="shared" si="15"/>
        <v>0.000000001</v>
      </c>
      <c r="AR122" s="105" t="str">
        <f t="shared" si="16"/>
        <v>0.154991081306871+381.278060014901i</v>
      </c>
      <c r="AS122" s="93" t="str">
        <f t="shared" si="17"/>
        <v>9999999999+9999999i</v>
      </c>
      <c r="AU122" s="87" t="str">
        <f t="shared" si="12"/>
        <v>0.154991082306871+381.278060014901i</v>
      </c>
      <c r="AV122" s="87" t="str">
        <f t="shared" si="18"/>
        <v>-2262869395.95723+3812782149678.4i</v>
      </c>
      <c r="AW122" s="87" t="str">
        <f t="shared" si="19"/>
        <v>9999999999.15499+10000380.27806i</v>
      </c>
      <c r="AX122" s="87" t="str">
        <f t="shared" si="20"/>
        <v>0.155005619574017+381.278059988544i</v>
      </c>
      <c r="AY122" s="87" t="str">
        <f t="shared" si="21"/>
        <v>0.155105619574017+367.360364923224i</v>
      </c>
      <c r="AZ122" s="87">
        <f t="shared" si="22"/>
        <v>24.599999999999945</v>
      </c>
      <c r="BA122" s="87">
        <f t="shared" si="23"/>
        <v>367.36039766730102</v>
      </c>
      <c r="BL122" s="104"/>
    </row>
    <row r="123" spans="2:64" ht="18" x14ac:dyDescent="0.35">
      <c r="B123" s="91" t="s">
        <v>43</v>
      </c>
      <c r="C123" s="87" t="s">
        <v>22</v>
      </c>
      <c r="AO123" s="87">
        <f t="shared" si="13"/>
        <v>24.799999999999944</v>
      </c>
      <c r="AP123" s="126" t="str">
        <f t="shared" si="14"/>
        <v>0.0001-13.805455588987i</v>
      </c>
      <c r="AQ123" s="105" t="str">
        <f t="shared" si="15"/>
        <v>0.000000001</v>
      </c>
      <c r="AR123" s="105" t="str">
        <f t="shared" si="16"/>
        <v>0.154991081306871+384.377881641039i</v>
      </c>
      <c r="AS123" s="93" t="str">
        <f t="shared" si="17"/>
        <v>9999999999+9999999i</v>
      </c>
      <c r="AU123" s="87" t="str">
        <f t="shared" si="12"/>
        <v>0.154991082306871+384.377881641039i</v>
      </c>
      <c r="AV123" s="87" t="str">
        <f t="shared" si="18"/>
        <v>-2293867609.11879+3843780365936.68i</v>
      </c>
      <c r="AW123" s="87" t="str">
        <f t="shared" si="19"/>
        <v>9999999999.15499+10000383.3778816i</v>
      </c>
      <c r="AX123" s="87" t="str">
        <f t="shared" si="20"/>
        <v>0.155005856913367+384.377881614349i</v>
      </c>
      <c r="AY123" s="87" t="str">
        <f t="shared" si="21"/>
        <v>0.155105856913367+370.572426025362i</v>
      </c>
      <c r="AZ123" s="87">
        <f t="shared" si="22"/>
        <v>24.799999999999944</v>
      </c>
      <c r="BA123" s="87">
        <f t="shared" si="23"/>
        <v>370.57245848571807</v>
      </c>
      <c r="BL123" s="104"/>
    </row>
    <row r="124" spans="2:64" ht="18" x14ac:dyDescent="0.35">
      <c r="B124" s="91" t="s">
        <v>34</v>
      </c>
      <c r="C124" s="87" t="s">
        <v>23</v>
      </c>
      <c r="AO124" s="87">
        <f t="shared" si="13"/>
        <v>24.999999999999943</v>
      </c>
      <c r="AP124" s="126" t="str">
        <f t="shared" si="14"/>
        <v>0.0001-13.6950119442751i</v>
      </c>
      <c r="AQ124" s="105" t="str">
        <f t="shared" si="15"/>
        <v>0.000000001</v>
      </c>
      <c r="AR124" s="105" t="str">
        <f t="shared" si="16"/>
        <v>0.154991081306871+387.477703267176i</v>
      </c>
      <c r="AS124" s="93" t="str">
        <f t="shared" si="17"/>
        <v>9999999999+9999999i</v>
      </c>
      <c r="AU124" s="87" t="str">
        <f t="shared" si="12"/>
        <v>0.154991082306871+387.477703267176i</v>
      </c>
      <c r="AV124" s="87" t="str">
        <f t="shared" si="18"/>
        <v>-2324865822.28034+3874778582194.95i</v>
      </c>
      <c r="AW124" s="87" t="str">
        <f t="shared" si="19"/>
        <v>9999999999.15499+10000386.4777033i</v>
      </c>
      <c r="AX124" s="87" t="str">
        <f t="shared" si="20"/>
        <v>0.155006096174497+387.47770324015i</v>
      </c>
      <c r="AY124" s="87" t="str">
        <f t="shared" si="21"/>
        <v>0.155106096174497+373.782691295875i</v>
      </c>
      <c r="AZ124" s="87">
        <f t="shared" si="22"/>
        <v>24.999999999999943</v>
      </c>
      <c r="BA124" s="87">
        <f t="shared" si="23"/>
        <v>373.78272347754182</v>
      </c>
      <c r="BL124" s="104"/>
    </row>
    <row r="125" spans="2:64" ht="18" x14ac:dyDescent="0.35">
      <c r="B125" s="91" t="s">
        <v>35</v>
      </c>
      <c r="C125" s="87" t="s">
        <v>24</v>
      </c>
      <c r="AO125" s="87">
        <f t="shared" si="13"/>
        <v>25.199999999999942</v>
      </c>
      <c r="AP125" s="126" t="str">
        <f t="shared" si="14"/>
        <v>0.0001-13.5863213732888i</v>
      </c>
      <c r="AQ125" s="105" t="str">
        <f t="shared" si="15"/>
        <v>0.000000001</v>
      </c>
      <c r="AR125" s="105" t="str">
        <f t="shared" si="16"/>
        <v>0.154991081306871+390.577524893313i</v>
      </c>
      <c r="AS125" s="93" t="str">
        <f t="shared" si="17"/>
        <v>9999999999+9999999i</v>
      </c>
      <c r="AU125" s="87" t="str">
        <f t="shared" si="12"/>
        <v>0.154991082306871+390.577524893313i</v>
      </c>
      <c r="AV125" s="87" t="str">
        <f t="shared" si="18"/>
        <v>-2355864035.44189+3905776798453.22i</v>
      </c>
      <c r="AW125" s="87" t="str">
        <f t="shared" si="19"/>
        <v>9999999999.15499+10000389.5775249i</v>
      </c>
      <c r="AX125" s="87" t="str">
        <f t="shared" si="20"/>
        <v>0.155006337357401+390.57752486595i</v>
      </c>
      <c r="AY125" s="87" t="str">
        <f t="shared" si="21"/>
        <v>0.155106337357401+376.991203492661i</v>
      </c>
      <c r="AZ125" s="87">
        <f t="shared" si="22"/>
        <v>25.199999999999942</v>
      </c>
      <c r="BA125" s="87">
        <f t="shared" si="23"/>
        <v>376.99123540053392</v>
      </c>
      <c r="BL125" s="104"/>
    </row>
    <row r="126" spans="2:64" x14ac:dyDescent="0.25">
      <c r="B126" s="91" t="s">
        <v>48</v>
      </c>
      <c r="C126" s="87" t="s">
        <v>49</v>
      </c>
      <c r="AO126" s="87">
        <f t="shared" si="13"/>
        <v>25.399999999999942</v>
      </c>
      <c r="AP126" s="126" t="str">
        <f t="shared" si="14"/>
        <v>0.0001-13.4793424648377i</v>
      </c>
      <c r="AQ126" s="105" t="str">
        <f t="shared" si="15"/>
        <v>0.000000001</v>
      </c>
      <c r="AR126" s="105" t="str">
        <f t="shared" si="16"/>
        <v>0.154991081306871+393.677346519451i</v>
      </c>
      <c r="AS126" s="93" t="str">
        <f t="shared" si="17"/>
        <v>9999999999+9999999i</v>
      </c>
      <c r="AU126" s="87" t="str">
        <f t="shared" si="12"/>
        <v>0.154991082306871+393.677346519451i</v>
      </c>
      <c r="AV126" s="87" t="str">
        <f t="shared" si="18"/>
        <v>-2386862248.60345+3936775014711.5i</v>
      </c>
      <c r="AW126" s="87" t="str">
        <f t="shared" si="19"/>
        <v>9999999999.15499+10000392.6773465i</v>
      </c>
      <c r="AX126" s="87" t="str">
        <f t="shared" si="20"/>
        <v>0.155006580462082+393.677346491749i</v>
      </c>
      <c r="AY126" s="87" t="str">
        <f t="shared" si="21"/>
        <v>0.155106580462082+380.198004026911i</v>
      </c>
      <c r="AZ126" s="87">
        <f t="shared" si="22"/>
        <v>25.399999999999942</v>
      </c>
      <c r="BA126" s="87">
        <f t="shared" si="23"/>
        <v>380.1980356657545</v>
      </c>
      <c r="BL126" s="104"/>
    </row>
    <row r="127" spans="2:64" ht="18" x14ac:dyDescent="0.35">
      <c r="B127" s="91" t="s">
        <v>50</v>
      </c>
      <c r="C127" s="87" t="s">
        <v>51</v>
      </c>
      <c r="AO127" s="87">
        <f t="shared" si="13"/>
        <v>25.599999999999941</v>
      </c>
      <c r="AP127" s="126" t="str">
        <f t="shared" si="14"/>
        <v>0.0001-13.3740351018312i</v>
      </c>
      <c r="AQ127" s="105" t="str">
        <f t="shared" si="15"/>
        <v>0.000000001</v>
      </c>
      <c r="AR127" s="105" t="str">
        <f t="shared" si="16"/>
        <v>0.154991081306871+396.777168145588i</v>
      </c>
      <c r="AS127" s="93" t="str">
        <f t="shared" si="17"/>
        <v>9999999999+9999999i</v>
      </c>
      <c r="AU127" s="87" t="str">
        <f t="shared" si="12"/>
        <v>0.154991082306871+396.777168145588i</v>
      </c>
      <c r="AV127" s="87" t="str">
        <f t="shared" si="18"/>
        <v>-2417860461.76499+3967773230969.77i</v>
      </c>
      <c r="AW127" s="87" t="str">
        <f t="shared" si="19"/>
        <v>9999999999.15499+10000395.7771681i</v>
      </c>
      <c r="AX127" s="87" t="str">
        <f t="shared" si="20"/>
        <v>0.155006825488541+396.777168117545i</v>
      </c>
      <c r="AY127" s="87" t="str">
        <f t="shared" si="21"/>
        <v>0.155106825488541+383.403133015714i</v>
      </c>
      <c r="AZ127" s="87">
        <f t="shared" si="22"/>
        <v>25.599999999999941</v>
      </c>
      <c r="BA127" s="87">
        <f t="shared" si="23"/>
        <v>383.40316439016584</v>
      </c>
    </row>
    <row r="128" spans="2:64" ht="18" x14ac:dyDescent="0.35">
      <c r="B128" s="91" t="s">
        <v>52</v>
      </c>
      <c r="C128" s="87" t="s">
        <v>55</v>
      </c>
      <c r="AO128" s="87">
        <f t="shared" si="13"/>
        <v>25.79999999999994</v>
      </c>
      <c r="AP128" s="126" t="str">
        <f t="shared" si="14"/>
        <v>0.0001-13.2703604111193i</v>
      </c>
      <c r="AQ128" s="105" t="str">
        <f t="shared" si="15"/>
        <v>0.000000001</v>
      </c>
      <c r="AR128" s="105" t="str">
        <f t="shared" si="16"/>
        <v>0.154991081306871+399.876989771726i</v>
      </c>
      <c r="AS128" s="93" t="str">
        <f t="shared" si="17"/>
        <v>9999999999+9999999i</v>
      </c>
      <c r="AU128" s="87" t="str">
        <f t="shared" si="12"/>
        <v>0.154991082306871+399.876989771726i</v>
      </c>
      <c r="AV128" s="87" t="str">
        <f t="shared" si="18"/>
        <v>-2448858674.92655+3998771447228.05i</v>
      </c>
      <c r="AW128" s="87" t="str">
        <f t="shared" si="19"/>
        <v>9999999999.15499+10000398.8769898i</v>
      </c>
      <c r="AX128" s="87" t="str">
        <f t="shared" si="20"/>
        <v>0.155007072436779+399.87698974334i</v>
      </c>
      <c r="AY128" s="87" t="str">
        <f t="shared" si="21"/>
        <v>0.155107072436779+386.606629332221i</v>
      </c>
      <c r="AZ128" s="87">
        <f t="shared" si="22"/>
        <v>25.79999999999994</v>
      </c>
      <c r="BA128" s="87">
        <f t="shared" si="23"/>
        <v>386.60666044679732</v>
      </c>
    </row>
    <row r="129" spans="2:53" ht="18" x14ac:dyDescent="0.35">
      <c r="B129" s="91" t="s">
        <v>54</v>
      </c>
      <c r="C129" s="87" t="s">
        <v>56</v>
      </c>
      <c r="AO129" s="87">
        <f t="shared" si="13"/>
        <v>25.99999999999994</v>
      </c>
      <c r="AP129" s="126" t="str">
        <f t="shared" si="14"/>
        <v>0.0001-13.1682807156492i</v>
      </c>
      <c r="AQ129" s="105" t="str">
        <f t="shared" si="15"/>
        <v>0.000000001</v>
      </c>
      <c r="AR129" s="105" t="str">
        <f t="shared" si="16"/>
        <v>0.154991081306871+402.976811397863i</v>
      </c>
      <c r="AS129" s="93" t="str">
        <f t="shared" si="17"/>
        <v>9999999999+9999999i</v>
      </c>
      <c r="AU129" s="87" t="str">
        <f t="shared" si="12"/>
        <v>0.154991082306871+402.976811397863i</v>
      </c>
      <c r="AV129" s="87" t="str">
        <f t="shared" si="18"/>
        <v>-2479856888.0881+4029769663486.32i</v>
      </c>
      <c r="AW129" s="87" t="str">
        <f t="shared" si="19"/>
        <v>9999999999.15499+10000401.9768114i</v>
      </c>
      <c r="AX129" s="87" t="str">
        <f t="shared" si="20"/>
        <v>0.15500732130679+402.976811369132i</v>
      </c>
      <c r="AY129" s="87" t="str">
        <f t="shared" si="21"/>
        <v>0.15510732130679+389.808530653483i</v>
      </c>
      <c r="AZ129" s="87">
        <f t="shared" si="22"/>
        <v>25.99999999999994</v>
      </c>
      <c r="BA129" s="87">
        <f t="shared" si="23"/>
        <v>389.80856151258206</v>
      </c>
    </row>
    <row r="130" spans="2:53" x14ac:dyDescent="0.25">
      <c r="B130" s="96" t="s">
        <v>70</v>
      </c>
      <c r="C130" s="96" t="s">
        <v>71</v>
      </c>
      <c r="D130" s="96"/>
      <c r="E130" s="96"/>
      <c r="F130" s="96"/>
      <c r="G130" s="96"/>
      <c r="H130" s="96"/>
      <c r="I130" s="96"/>
      <c r="J130" s="96"/>
      <c r="K130" s="96"/>
      <c r="L130" s="96"/>
      <c r="AO130" s="87">
        <f t="shared" si="13"/>
        <v>26.199999999999939</v>
      </c>
      <c r="AP130" s="126" t="str">
        <f t="shared" si="14"/>
        <v>0.0001-13.0677594888121i</v>
      </c>
      <c r="AQ130" s="105" t="str">
        <f t="shared" si="15"/>
        <v>0.000000001</v>
      </c>
      <c r="AR130" s="105" t="str">
        <f t="shared" si="16"/>
        <v>0.154991081306871+406.076633024i</v>
      </c>
      <c r="AS130" s="93" t="str">
        <f t="shared" si="17"/>
        <v>9999999999+9999999i</v>
      </c>
      <c r="AU130" s="87" t="str">
        <f t="shared" si="12"/>
        <v>0.154991082306871+406.076633024i</v>
      </c>
      <c r="AV130" s="87" t="str">
        <f t="shared" si="18"/>
        <v>-2510855101.24965+4060767879744.59i</v>
      </c>
      <c r="AW130" s="87" t="str">
        <f t="shared" si="19"/>
        <v>9999999999.15499+10000405.076633i</v>
      </c>
      <c r="AX130" s="87" t="str">
        <f t="shared" si="20"/>
        <v>0.155007572098578+406.076632994922i</v>
      </c>
      <c r="AY130" s="87" t="str">
        <f t="shared" si="21"/>
        <v>0.155107572098578+393.00887350611i</v>
      </c>
      <c r="AZ130" s="87">
        <f t="shared" si="22"/>
        <v>26.199999999999939</v>
      </c>
      <c r="BA130" s="87">
        <f t="shared" si="23"/>
        <v>393.00890411401679</v>
      </c>
    </row>
    <row r="131" spans="2:53" x14ac:dyDescent="0.25">
      <c r="B131" s="88" t="s">
        <v>44</v>
      </c>
      <c r="AO131" s="87">
        <f t="shared" si="13"/>
        <v>26.399999999999938</v>
      </c>
      <c r="AP131" s="126" t="str">
        <f t="shared" si="14"/>
        <v>0.0001-12.9687613108666i</v>
      </c>
      <c r="AQ131" s="105" t="str">
        <f t="shared" si="15"/>
        <v>0.000000001</v>
      </c>
      <c r="AR131" s="105" t="str">
        <f t="shared" si="16"/>
        <v>0.154991081306871+409.176454650138i</v>
      </c>
      <c r="AS131" s="93" t="str">
        <f t="shared" si="17"/>
        <v>9999999999+9999999i</v>
      </c>
      <c r="AU131" s="87" t="str">
        <f t="shared" si="12"/>
        <v>0.154991082306871+409.176454650138i</v>
      </c>
      <c r="AV131" s="87" t="str">
        <f t="shared" si="18"/>
        <v>-2541853314.41121+4091766096002.87i</v>
      </c>
      <c r="AW131" s="87" t="str">
        <f t="shared" si="19"/>
        <v>9999999999.15499+10000408.1764547i</v>
      </c>
      <c r="AX131" s="87" t="str">
        <f t="shared" si="20"/>
        <v>0.155007824812148+409.176454620711i</v>
      </c>
      <c r="AY131" s="87" t="str">
        <f t="shared" si="21"/>
        <v>0.155107824812148+396.207693309844i</v>
      </c>
      <c r="AZ131" s="87">
        <f t="shared" si="22"/>
        <v>26.399999999999938</v>
      </c>
      <c r="BA131" s="87">
        <f t="shared" si="23"/>
        <v>396.20772367073397</v>
      </c>
    </row>
    <row r="132" spans="2:53" x14ac:dyDescent="0.25">
      <c r="AO132" s="87">
        <f t="shared" si="13"/>
        <v>26.599999999999937</v>
      </c>
      <c r="AP132" s="126" t="str">
        <f t="shared" si="14"/>
        <v>0.0001-12.8712518273263i</v>
      </c>
      <c r="AQ132" s="105" t="str">
        <f t="shared" si="15"/>
        <v>0.000000001</v>
      </c>
      <c r="AR132" s="105" t="str">
        <f t="shared" si="16"/>
        <v>0.154991081306871+412.276276276275i</v>
      </c>
      <c r="AS132" s="93" t="str">
        <f t="shared" si="17"/>
        <v>9999999999+9999999i</v>
      </c>
      <c r="AU132" s="87" t="str">
        <f t="shared" ref="AU132:AU195" si="46">IMSUM(AR132,AQ132)</f>
        <v>0.154991082306871+412.276276276275i</v>
      </c>
      <c r="AV132" s="87" t="str">
        <f t="shared" si="18"/>
        <v>-2572851527.57275+4122764312261.14i</v>
      </c>
      <c r="AW132" s="87" t="str">
        <f t="shared" si="19"/>
        <v>9999999999.15499+10000411.2762763i</v>
      </c>
      <c r="AX132" s="87" t="str">
        <f t="shared" si="20"/>
        <v>0.155008079447491+412.276276246497i</v>
      </c>
      <c r="AY132" s="87" t="str">
        <f t="shared" si="21"/>
        <v>0.155108079447491+399.405024419171i</v>
      </c>
      <c r="AZ132" s="87">
        <f t="shared" si="22"/>
        <v>26.599999999999937</v>
      </c>
      <c r="BA132" s="87">
        <f t="shared" si="23"/>
        <v>399.40505453711381</v>
      </c>
    </row>
    <row r="133" spans="2:53" x14ac:dyDescent="0.25">
      <c r="AO133" s="87">
        <f t="shared" ref="AO133:AO196" si="47">AO132+0.2</f>
        <v>26.799999999999937</v>
      </c>
      <c r="AP133" s="126" t="str">
        <f t="shared" ref="AP133:AP196" si="48">COMPLEX(0.0001,-1*$D$22/AO133)</f>
        <v>0.0001-12.7751977092119i</v>
      </c>
      <c r="AQ133" s="105" t="str">
        <f t="shared" ref="AQ133:AQ196" si="49">COMPLEX(0.000000001,-1*$D$23/AO133)</f>
        <v>0.000000001</v>
      </c>
      <c r="AR133" s="105" t="str">
        <f t="shared" ref="AR133:AR196" si="50">COMPLEX($D$24/$D$26,$D$24*AO133)</f>
        <v>0.154991081306871+415.376097902413i</v>
      </c>
      <c r="AS133" s="93" t="str">
        <f t="shared" ref="AS133:AS196" si="51">COMPLEX(9999999999,9999999)</f>
        <v>9999999999+9999999i</v>
      </c>
      <c r="AU133" s="87" t="str">
        <f t="shared" si="46"/>
        <v>0.154991082306871+415.376097902413i</v>
      </c>
      <c r="AV133" s="87" t="str">
        <f t="shared" ref="AV133:AV196" si="52">IMPRODUCT(AU133,AS133)</f>
        <v>-2603849740.73431+4153762528519.42i</v>
      </c>
      <c r="AW133" s="87" t="str">
        <f t="shared" ref="AW133:AW196" si="53">IMSUM(AS133,AU133)</f>
        <v>9999999999.15499+10000414.3760979i</v>
      </c>
      <c r="AX133" s="87" t="str">
        <f t="shared" ref="AX133:AX196" si="54">IMDIV(AV133,AW133)</f>
        <v>0.15500833600461+415.376097872283i</v>
      </c>
      <c r="AY133" s="87" t="str">
        <f t="shared" ref="AY133:AY196" si="55">IMSUM(AX133,AP133)</f>
        <v>0.15510833600461+402.600900163071i</v>
      </c>
      <c r="AZ133" s="87">
        <f t="shared" ref="AZ133:AZ196" si="56">AO133</f>
        <v>26.799999999999937</v>
      </c>
      <c r="BA133" s="87">
        <f t="shared" ref="BA133:BA196" si="57">IMABS(AY133)</f>
        <v>402.60093004203429</v>
      </c>
    </row>
    <row r="134" spans="2:53" x14ac:dyDescent="0.25">
      <c r="AO134" s="87">
        <f t="shared" si="47"/>
        <v>26.999999999999936</v>
      </c>
      <c r="AP134" s="126" t="str">
        <f t="shared" si="48"/>
        <v>0.0001-12.6805666150696i</v>
      </c>
      <c r="AQ134" s="105" t="str">
        <f t="shared" si="49"/>
        <v>0.000000001</v>
      </c>
      <c r="AR134" s="105" t="str">
        <f t="shared" si="50"/>
        <v>0.154991081306871+418.47591952855i</v>
      </c>
      <c r="AS134" s="93" t="str">
        <f t="shared" si="51"/>
        <v>9999999999+9999999i</v>
      </c>
      <c r="AU134" s="87" t="str">
        <f t="shared" si="46"/>
        <v>0.154991082306871+418.47591952855i</v>
      </c>
      <c r="AV134" s="87" t="str">
        <f t="shared" si="52"/>
        <v>-2634847953.89586+4184760744777.69i</v>
      </c>
      <c r="AW134" s="87" t="str">
        <f t="shared" si="53"/>
        <v>9999999999.15499+10000417.4759195i</v>
      </c>
      <c r="AX134" s="87" t="str">
        <f t="shared" si="54"/>
        <v>0.155008594483505+418.475919498065i</v>
      </c>
      <c r="AY134" s="87" t="str">
        <f t="shared" si="55"/>
        <v>0.155108594483505+405.795352882995i</v>
      </c>
      <c r="AZ134" s="87">
        <f t="shared" si="56"/>
        <v>26.999999999999936</v>
      </c>
      <c r="BA134" s="87">
        <f t="shared" si="57"/>
        <v>405.79538252684756</v>
      </c>
    </row>
    <row r="135" spans="2:53" x14ac:dyDescent="0.25">
      <c r="B135" s="109"/>
      <c r="C135" s="101"/>
      <c r="D135" s="108"/>
      <c r="E135" s="101"/>
      <c r="AO135" s="87">
        <f t="shared" si="47"/>
        <v>27.199999999999935</v>
      </c>
      <c r="AP135" s="126" t="str">
        <f t="shared" si="48"/>
        <v>0.0001-12.5873271546646i</v>
      </c>
      <c r="AQ135" s="105" t="str">
        <f t="shared" si="49"/>
        <v>0.000000001</v>
      </c>
      <c r="AR135" s="105" t="str">
        <f t="shared" si="50"/>
        <v>0.154991081306871+421.575741154687i</v>
      </c>
      <c r="AS135" s="93" t="str">
        <f t="shared" si="51"/>
        <v>9999999999+9999999i</v>
      </c>
      <c r="AU135" s="87" t="str">
        <f t="shared" si="46"/>
        <v>0.154991082306871+421.575741154687i</v>
      </c>
      <c r="AV135" s="87" t="str">
        <f t="shared" si="52"/>
        <v>-2665846167.05741+4215758961035.96i</v>
      </c>
      <c r="AW135" s="87" t="str">
        <f t="shared" si="53"/>
        <v>9999999999.15499+10000420.5757412i</v>
      </c>
      <c r="AX135" s="87" t="str">
        <f t="shared" si="54"/>
        <v>0.155008854884182+421.575741123845i</v>
      </c>
      <c r="AY135" s="87" t="str">
        <f t="shared" si="55"/>
        <v>0.155108854884182+408.98841396918i</v>
      </c>
      <c r="AZ135" s="87">
        <f t="shared" si="56"/>
        <v>27.199999999999935</v>
      </c>
      <c r="BA135" s="87">
        <f t="shared" si="57"/>
        <v>408.98844338169528</v>
      </c>
    </row>
    <row r="136" spans="2:53" x14ac:dyDescent="0.25">
      <c r="AO136" s="87">
        <f t="shared" si="47"/>
        <v>27.399999999999935</v>
      </c>
      <c r="AP136" s="126" t="str">
        <f t="shared" si="48"/>
        <v>0.0001-12.4954488542656i</v>
      </c>
      <c r="AQ136" s="105" t="str">
        <f t="shared" si="49"/>
        <v>0.000000001</v>
      </c>
      <c r="AR136" s="105" t="str">
        <f t="shared" si="50"/>
        <v>0.154991081306871+424.675562780825i</v>
      </c>
      <c r="AS136" s="93" t="str">
        <f t="shared" si="51"/>
        <v>9999999999+9999999i</v>
      </c>
      <c r="AU136" s="87" t="str">
        <f t="shared" si="46"/>
        <v>0.154991082306871+424.675562780825i</v>
      </c>
      <c r="AV136" s="87" t="str">
        <f t="shared" si="52"/>
        <v>-2696844380.21897+4246757177294.24i</v>
      </c>
      <c r="AW136" s="87" t="str">
        <f t="shared" si="53"/>
        <v>9999999999.15499+10000423.6755628i</v>
      </c>
      <c r="AX136" s="87" t="str">
        <f t="shared" si="54"/>
        <v>0.155009117206632+424.675562749625i</v>
      </c>
      <c r="AY136" s="87" t="str">
        <f t="shared" si="55"/>
        <v>0.155109117206632+412.180113895359i</v>
      </c>
      <c r="AZ136" s="87">
        <f t="shared" si="56"/>
        <v>27.399999999999935</v>
      </c>
      <c r="BA136" s="87">
        <f t="shared" si="57"/>
        <v>412.18014308021844</v>
      </c>
    </row>
    <row r="137" spans="2:53" ht="36" x14ac:dyDescent="0.55000000000000004">
      <c r="B137" s="118" t="s">
        <v>45</v>
      </c>
      <c r="C137" s="119"/>
      <c r="D137" s="119"/>
      <c r="E137" s="119"/>
      <c r="F137" s="119"/>
      <c r="G137" s="119"/>
      <c r="H137" s="119"/>
      <c r="I137" s="119"/>
      <c r="J137" s="119"/>
      <c r="K137" s="119"/>
      <c r="L137" s="119"/>
      <c r="AO137" s="87">
        <f t="shared" si="47"/>
        <v>27.599999999999934</v>
      </c>
      <c r="AP137" s="126" t="str">
        <f t="shared" si="48"/>
        <v>0.0001-12.4049021234376i</v>
      </c>
      <c r="AQ137" s="105" t="str">
        <f t="shared" si="49"/>
        <v>0.000000001</v>
      </c>
      <c r="AR137" s="105" t="str">
        <f t="shared" si="50"/>
        <v>0.154991081306871+427.775384406962i</v>
      </c>
      <c r="AS137" s="93" t="str">
        <f t="shared" si="51"/>
        <v>9999999999+9999999i</v>
      </c>
      <c r="AU137" s="87" t="str">
        <f t="shared" si="46"/>
        <v>0.154991082306871+427.775384406962i</v>
      </c>
      <c r="AV137" s="87" t="str">
        <f t="shared" si="52"/>
        <v>-2727842593.38052+4277755393552.51i</v>
      </c>
      <c r="AW137" s="87" t="str">
        <f t="shared" si="53"/>
        <v>9999999999.15499+10000426.7753844i</v>
      </c>
      <c r="AX137" s="87" t="str">
        <f t="shared" si="54"/>
        <v>0.155009381450858+427.775384375402i</v>
      </c>
      <c r="AY137" s="87" t="str">
        <f t="shared" si="55"/>
        <v>0.155109381450858+415.370482251964i</v>
      </c>
      <c r="AZ137" s="87">
        <f t="shared" si="56"/>
        <v>27.599999999999934</v>
      </c>
      <c r="BA137" s="87">
        <f t="shared" si="57"/>
        <v>415.37051121275971</v>
      </c>
    </row>
    <row r="138" spans="2:53" ht="20.25" customHeight="1" x14ac:dyDescent="0.4">
      <c r="B138" s="175" t="str">
        <f>"Notch Filter Design - Stage/Branch: "&amp;$I$9&amp;", Tuning Point: "&amp;FIXED($D$10,2)&amp;", Reference: "&amp;$I$8</f>
        <v>Notch Filter Design - Stage/Branch: Branch/Stage #, Tuning Point: 4.70, Reference: Enter Job Name</v>
      </c>
      <c r="C138" s="120"/>
      <c r="D138" s="120"/>
      <c r="E138" s="120"/>
      <c r="F138" s="120"/>
      <c r="G138" s="174"/>
      <c r="H138" s="174"/>
      <c r="I138" s="174"/>
      <c r="J138" s="174"/>
      <c r="K138" s="174"/>
      <c r="L138" s="272" t="s">
        <v>185</v>
      </c>
      <c r="AO138" s="87">
        <f t="shared" si="47"/>
        <v>27.799999999999933</v>
      </c>
      <c r="AP138" s="126" t="str">
        <f t="shared" si="48"/>
        <v>0.0001-12.315658223269i</v>
      </c>
      <c r="AQ138" s="105" t="str">
        <f t="shared" si="49"/>
        <v>0.000000001</v>
      </c>
      <c r="AR138" s="105" t="str">
        <f t="shared" si="50"/>
        <v>0.154991081306871+430.8752060331i</v>
      </c>
      <c r="AS138" s="93" t="str">
        <f t="shared" si="51"/>
        <v>9999999999+9999999i</v>
      </c>
      <c r="AU138" s="87" t="str">
        <f t="shared" si="46"/>
        <v>0.154991082306871+430.8752060331i</v>
      </c>
      <c r="AV138" s="87" t="str">
        <f t="shared" si="52"/>
        <v>-2758840806.54208+4308753609810.79i</v>
      </c>
      <c r="AW138" s="87" t="str">
        <f t="shared" si="53"/>
        <v>9999999999.15499+10000429.875206i</v>
      </c>
      <c r="AX138" s="87" t="str">
        <f t="shared" si="54"/>
        <v>0.155009647616862+430.875206001177i</v>
      </c>
      <c r="AY138" s="87" t="str">
        <f t="shared" si="55"/>
        <v>0.155109647616862+418.559547777908i</v>
      </c>
      <c r="AZ138" s="87">
        <f t="shared" si="56"/>
        <v>27.799999999999933</v>
      </c>
      <c r="BA138" s="87">
        <f t="shared" si="57"/>
        <v>418.55957651814589</v>
      </c>
    </row>
    <row r="139" spans="2:53" x14ac:dyDescent="0.25">
      <c r="AO139" s="87">
        <f t="shared" si="47"/>
        <v>27.999999999999932</v>
      </c>
      <c r="AP139" s="126" t="str">
        <f t="shared" si="48"/>
        <v>0.0001-12.2276892359599i</v>
      </c>
      <c r="AQ139" s="105" t="str">
        <f t="shared" si="49"/>
        <v>0.000000001</v>
      </c>
      <c r="AR139" s="105" t="str">
        <f t="shared" si="50"/>
        <v>0.154991081306871+433.975027659237i</v>
      </c>
      <c r="AS139" s="93" t="str">
        <f t="shared" si="51"/>
        <v>9999999999+9999999i</v>
      </c>
      <c r="AU139" s="87" t="str">
        <f t="shared" si="46"/>
        <v>0.154991082306871+433.975027659237i</v>
      </c>
      <c r="AV139" s="87" t="str">
        <f t="shared" si="52"/>
        <v>-2789839019.70362+4339751826069.06i</v>
      </c>
      <c r="AW139" s="87" t="str">
        <f t="shared" si="53"/>
        <v>9999999999.15499+10000432.9750277i</v>
      </c>
      <c r="AX139" s="87" t="str">
        <f t="shared" si="54"/>
        <v>0.155009915704648+433.97502762695i</v>
      </c>
      <c r="AY139" s="87" t="str">
        <f t="shared" si="55"/>
        <v>0.155109915704648+421.74733839099i</v>
      </c>
      <c r="AZ139" s="87">
        <f t="shared" si="56"/>
        <v>27.999999999999932</v>
      </c>
      <c r="BA139" s="87">
        <f t="shared" si="57"/>
        <v>421.74736691409254</v>
      </c>
    </row>
    <row r="140" spans="2:53" x14ac:dyDescent="0.25">
      <c r="AO140" s="87">
        <f t="shared" si="47"/>
        <v>28.199999999999932</v>
      </c>
      <c r="AP140" s="126" t="str">
        <f t="shared" si="48"/>
        <v>0.0001-12.1409680357049i</v>
      </c>
      <c r="AQ140" s="105" t="str">
        <f t="shared" si="49"/>
        <v>0.000000001</v>
      </c>
      <c r="AR140" s="105" t="str">
        <f t="shared" si="50"/>
        <v>0.154991081306871+437.074849285374i</v>
      </c>
      <c r="AS140" s="93" t="str">
        <f t="shared" si="51"/>
        <v>9999999999+9999999i</v>
      </c>
      <c r="AU140" s="87" t="str">
        <f t="shared" si="46"/>
        <v>0.154991082306871+437.074849285374i</v>
      </c>
      <c r="AV140" s="87" t="str">
        <f t="shared" si="52"/>
        <v>-2820837232.86517+4370750042327.33i</v>
      </c>
      <c r="AW140" s="87" t="str">
        <f t="shared" si="53"/>
        <v>9999999999.15499+10000436.0748493i</v>
      </c>
      <c r="AX140" s="87" t="str">
        <f t="shared" si="54"/>
        <v>0.155010185714205+437.074849252721i</v>
      </c>
      <c r="AY140" s="87" t="str">
        <f t="shared" si="55"/>
        <v>0.155110185714205+424.933881217016i</v>
      </c>
      <c r="AZ140" s="87">
        <f t="shared" si="56"/>
        <v>28.199999999999932</v>
      </c>
      <c r="BA140" s="87">
        <f t="shared" si="57"/>
        <v>424.93390952632478</v>
      </c>
    </row>
    <row r="141" spans="2:53" x14ac:dyDescent="0.25">
      <c r="AO141" s="87">
        <f t="shared" si="47"/>
        <v>28.399999999999931</v>
      </c>
      <c r="AP141" s="126" t="str">
        <f t="shared" si="48"/>
        <v>0.0001-12.0554682608056i</v>
      </c>
      <c r="AQ141" s="105" t="str">
        <f t="shared" si="49"/>
        <v>0.000000001</v>
      </c>
      <c r="AR141" s="105" t="str">
        <f t="shared" si="50"/>
        <v>0.154991081306871+440.174670911512i</v>
      </c>
      <c r="AS141" s="93" t="str">
        <f t="shared" si="51"/>
        <v>9999999999+9999999i</v>
      </c>
      <c r="AU141" s="87" t="str">
        <f t="shared" si="46"/>
        <v>0.154991082306871+440.174670911512i</v>
      </c>
      <c r="AV141" s="87" t="str">
        <f t="shared" si="52"/>
        <v>-2851835446.02673+4401748258585.61i</v>
      </c>
      <c r="AW141" s="87" t="str">
        <f t="shared" si="53"/>
        <v>9999999999.15499+10000439.1746709i</v>
      </c>
      <c r="AX141" s="87" t="str">
        <f t="shared" si="54"/>
        <v>0.155010457645539+440.174670878491i</v>
      </c>
      <c r="AY141" s="87" t="str">
        <f t="shared" si="55"/>
        <v>0.155110457645539+428.119202617685i</v>
      </c>
      <c r="AZ141" s="87">
        <f t="shared" si="56"/>
        <v>28.399999999999931</v>
      </c>
      <c r="BA141" s="87">
        <f t="shared" si="57"/>
        <v>428.11923071646351</v>
      </c>
    </row>
    <row r="142" spans="2:53" x14ac:dyDescent="0.25">
      <c r="AO142" s="87">
        <f t="shared" si="47"/>
        <v>28.59999999999993</v>
      </c>
      <c r="AP142" s="126" t="str">
        <f t="shared" si="48"/>
        <v>0.0001-11.9711642869538i</v>
      </c>
      <c r="AQ142" s="105" t="str">
        <f t="shared" si="49"/>
        <v>0.000000001</v>
      </c>
      <c r="AR142" s="105" t="str">
        <f t="shared" si="50"/>
        <v>0.154991081306871+443.274492537649i</v>
      </c>
      <c r="AS142" s="93" t="str">
        <f t="shared" si="51"/>
        <v>9999999999+9999999i</v>
      </c>
      <c r="AU142" s="87" t="str">
        <f t="shared" si="46"/>
        <v>0.154991082306871+443.274492537649i</v>
      </c>
      <c r="AV142" s="87" t="str">
        <f t="shared" si="52"/>
        <v>-2882833659.18828+4432746474843.88i</v>
      </c>
      <c r="AW142" s="87" t="str">
        <f t="shared" si="53"/>
        <v>9999999999.15499+10000442.2744925i</v>
      </c>
      <c r="AX142" s="87" t="str">
        <f t="shared" si="54"/>
        <v>0.15501073149865+443.274492504258i</v>
      </c>
      <c r="AY142" s="87" t="str">
        <f t="shared" si="55"/>
        <v>0.15511073149865+431.303328217304i</v>
      </c>
      <c r="AZ142" s="87">
        <f t="shared" si="56"/>
        <v>28.59999999999993</v>
      </c>
      <c r="BA142" s="87">
        <f t="shared" si="57"/>
        <v>431.30335610873993</v>
      </c>
    </row>
    <row r="143" spans="2:53" x14ac:dyDescent="0.25">
      <c r="AO143" s="87">
        <f t="shared" si="47"/>
        <v>28.79999999999993</v>
      </c>
      <c r="AP143" s="126" t="str">
        <f t="shared" si="48"/>
        <v>0.0001-11.8880312016277i</v>
      </c>
      <c r="AQ143" s="105" t="str">
        <f t="shared" si="49"/>
        <v>0.000000001</v>
      </c>
      <c r="AR143" s="105" t="str">
        <f t="shared" si="50"/>
        <v>0.154991081306871+446.374314163787i</v>
      </c>
      <c r="AS143" s="93" t="str">
        <f t="shared" si="51"/>
        <v>9999999999+9999999i</v>
      </c>
      <c r="AU143" s="87" t="str">
        <f t="shared" si="46"/>
        <v>0.154991082306871+446.374314163787i</v>
      </c>
      <c r="AV143" s="87" t="str">
        <f t="shared" si="52"/>
        <v>-2913831872.34984+4463744691102.16i</v>
      </c>
      <c r="AW143" s="87" t="str">
        <f t="shared" si="53"/>
        <v>9999999999.15499+10000445.3743142i</v>
      </c>
      <c r="AX143" s="87" t="str">
        <f t="shared" si="54"/>
        <v>0.155011007273542+446.374314130024i</v>
      </c>
      <c r="AY143" s="87" t="str">
        <f t="shared" si="55"/>
        <v>0.155111007273542+434.486282928396i</v>
      </c>
      <c r="AZ143" s="87">
        <f t="shared" si="56"/>
        <v>28.79999999999993</v>
      </c>
      <c r="BA143" s="87">
        <f t="shared" si="57"/>
        <v>434.4863106156036</v>
      </c>
    </row>
    <row r="144" spans="2:53" x14ac:dyDescent="0.25">
      <c r="AO144" s="87">
        <f t="shared" si="47"/>
        <v>28.999999999999929</v>
      </c>
      <c r="AP144" s="126" t="str">
        <f t="shared" si="48"/>
        <v>0.0001-11.8060447795475i</v>
      </c>
      <c r="AQ144" s="105" t="str">
        <f t="shared" si="49"/>
        <v>0.000000001</v>
      </c>
      <c r="AR144" s="105" t="str">
        <f t="shared" si="50"/>
        <v>0.154991081306871+449.474135789924i</v>
      </c>
      <c r="AS144" s="93" t="str">
        <f t="shared" si="51"/>
        <v>9999999999+9999999i</v>
      </c>
      <c r="AU144" s="87" t="str">
        <f t="shared" si="46"/>
        <v>0.154991082306871+449.474135789924i</v>
      </c>
      <c r="AV144" s="87" t="str">
        <f t="shared" si="52"/>
        <v>-2944830085.51138+4494742907360.43i</v>
      </c>
      <c r="AW144" s="87" t="str">
        <f t="shared" si="53"/>
        <v>9999999999.15499+10000448.4741358i</v>
      </c>
      <c r="AX144" s="87" t="str">
        <f t="shared" si="54"/>
        <v>0.155011284970208+449.474135755787i</v>
      </c>
      <c r="AY144" s="87" t="str">
        <f t="shared" si="55"/>
        <v>0.155111284970208+437.66809097624i</v>
      </c>
      <c r="AZ144" s="87">
        <f t="shared" si="56"/>
        <v>28.999999999999929</v>
      </c>
      <c r="BA144" s="87">
        <f t="shared" si="57"/>
        <v>437.66811846226256</v>
      </c>
    </row>
    <row r="145" spans="1:53" x14ac:dyDescent="0.25"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AO145" s="87">
        <f t="shared" si="47"/>
        <v>29.199999999999928</v>
      </c>
      <c r="AP145" s="126" t="str">
        <f t="shared" si="48"/>
        <v>0.0001-11.7251814591397i</v>
      </c>
      <c r="AQ145" s="105" t="str">
        <f t="shared" si="49"/>
        <v>0.000000001</v>
      </c>
      <c r="AR145" s="105" t="str">
        <f t="shared" si="50"/>
        <v>0.154991081306871+452.573957416061i</v>
      </c>
      <c r="AS145" s="93" t="str">
        <f t="shared" si="51"/>
        <v>9999999999+9999999i</v>
      </c>
      <c r="AU145" s="87" t="str">
        <f t="shared" si="46"/>
        <v>0.154991082306871+452.573957416061i</v>
      </c>
      <c r="AV145" s="87" t="str">
        <f t="shared" si="52"/>
        <v>-2975828298.67293+4525741123618.7i</v>
      </c>
      <c r="AW145" s="87" t="str">
        <f t="shared" si="53"/>
        <v>9999999999.15499+10000451.5739574i</v>
      </c>
      <c r="AX145" s="87" t="str">
        <f t="shared" si="54"/>
        <v>0.155011564588649+452.573957381548i</v>
      </c>
      <c r="AY145" s="87" t="str">
        <f t="shared" si="55"/>
        <v>0.155111564588649+440.848775922408i</v>
      </c>
      <c r="AZ145" s="87">
        <f t="shared" si="56"/>
        <v>29.199999999999928</v>
      </c>
      <c r="BA145" s="87">
        <f t="shared" si="57"/>
        <v>440.84880321021961</v>
      </c>
    </row>
    <row r="146" spans="1:53" x14ac:dyDescent="0.25">
      <c r="AO146" s="87">
        <f t="shared" si="47"/>
        <v>29.399999999999928</v>
      </c>
      <c r="AP146" s="126" t="str">
        <f t="shared" si="48"/>
        <v>0.0001-11.6454183199618i</v>
      </c>
      <c r="AQ146" s="105" t="str">
        <f t="shared" si="49"/>
        <v>0.000000001</v>
      </c>
      <c r="AR146" s="105" t="str">
        <f t="shared" si="50"/>
        <v>0.154991081306871+455.673779042199i</v>
      </c>
      <c r="AS146" s="93" t="str">
        <f t="shared" si="51"/>
        <v>9999999999+9999999i</v>
      </c>
      <c r="AU146" s="87" t="str">
        <f t="shared" si="46"/>
        <v>0.154991082306871+455.673779042199i</v>
      </c>
      <c r="AV146" s="87" t="str">
        <f t="shared" si="52"/>
        <v>-3006826511.83449+4556739339876.98i</v>
      </c>
      <c r="AW146" s="87" t="str">
        <f t="shared" si="53"/>
        <v>9999999999.15499+10000454.673779i</v>
      </c>
      <c r="AX146" s="87" t="str">
        <f t="shared" si="54"/>
        <v>0.155011846128868+455.673779007309i</v>
      </c>
      <c r="AY146" s="87" t="str">
        <f t="shared" si="55"/>
        <v>0.155111846128868+444.028360687347i</v>
      </c>
      <c r="AZ146" s="87">
        <f t="shared" si="56"/>
        <v>29.399999999999928</v>
      </c>
      <c r="BA146" s="87">
        <f t="shared" si="57"/>
        <v>444.02838777985534</v>
      </c>
    </row>
    <row r="147" spans="1:53" x14ac:dyDescent="0.25"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AO147" s="87">
        <f t="shared" si="47"/>
        <v>29.599999999999927</v>
      </c>
      <c r="AP147" s="126" t="str">
        <f t="shared" si="48"/>
        <v>0.0001-11.5667330610432i</v>
      </c>
      <c r="AQ147" s="105" t="str">
        <f t="shared" si="49"/>
        <v>0.000000001</v>
      </c>
      <c r="AR147" s="105" t="str">
        <f t="shared" si="50"/>
        <v>0.154991081306871+458.773600668336i</v>
      </c>
      <c r="AS147" s="93" t="str">
        <f t="shared" si="51"/>
        <v>9999999999+9999999i</v>
      </c>
      <c r="AU147" s="87" t="str">
        <f t="shared" si="46"/>
        <v>0.154991082306871+458.773600668336i</v>
      </c>
      <c r="AV147" s="87" t="str">
        <f t="shared" si="52"/>
        <v>-3037824724.99604+4587737556135.25i</v>
      </c>
      <c r="AW147" s="87" t="str">
        <f t="shared" si="53"/>
        <v>9999999999.15499+10000457.7736007i</v>
      </c>
      <c r="AX147" s="87" t="str">
        <f t="shared" si="54"/>
        <v>0.155012129590868+458.773600633066i</v>
      </c>
      <c r="AY147" s="87" t="str">
        <f t="shared" si="55"/>
        <v>0.155112129590868+447.206867572023i</v>
      </c>
      <c r="AZ147" s="87">
        <f t="shared" si="56"/>
        <v>29.599999999999927</v>
      </c>
      <c r="BA147" s="87">
        <f t="shared" si="57"/>
        <v>447.20689447207053</v>
      </c>
    </row>
    <row r="148" spans="1:53" x14ac:dyDescent="0.25">
      <c r="AO148" s="87">
        <f t="shared" si="47"/>
        <v>29.799999999999926</v>
      </c>
      <c r="AP148" s="126" t="str">
        <f t="shared" si="48"/>
        <v>0.0001-11.4891039800966i</v>
      </c>
      <c r="AQ148" s="105" t="str">
        <f t="shared" si="49"/>
        <v>0.000000001</v>
      </c>
      <c r="AR148" s="105" t="str">
        <f t="shared" si="50"/>
        <v>0.154991081306871+461.873422294474i</v>
      </c>
      <c r="AS148" s="93" t="str">
        <f t="shared" si="51"/>
        <v>9999999999+9999999i</v>
      </c>
      <c r="AU148" s="87" t="str">
        <f t="shared" si="46"/>
        <v>0.154991082306871+461.873422294474i</v>
      </c>
      <c r="AV148" s="87" t="str">
        <f t="shared" si="52"/>
        <v>-3068822938.1576+4618735772393.53i</v>
      </c>
      <c r="AW148" s="87" t="str">
        <f t="shared" si="53"/>
        <v>9999999999.15499+10000460.8734223i</v>
      </c>
      <c r="AX148" s="87" t="str">
        <f t="shared" si="54"/>
        <v>0.15501241497464+461.873422258823i</v>
      </c>
      <c r="AY148" s="87" t="str">
        <f t="shared" si="55"/>
        <v>0.15511241497464+450.384318278726i</v>
      </c>
      <c r="AZ148" s="87">
        <f t="shared" si="56"/>
        <v>29.799999999999926</v>
      </c>
      <c r="BA148" s="87">
        <f t="shared" si="57"/>
        <v>450.38434498909277</v>
      </c>
    </row>
    <row r="149" spans="1:53" x14ac:dyDescent="0.25">
      <c r="AO149" s="87">
        <f t="shared" si="47"/>
        <v>29.999999999999925</v>
      </c>
      <c r="AP149" s="126" t="str">
        <f t="shared" si="48"/>
        <v>0.0001-11.4125099535626i</v>
      </c>
      <c r="AQ149" s="105" t="str">
        <f t="shared" si="49"/>
        <v>0.000000001</v>
      </c>
      <c r="AR149" s="105" t="str">
        <f t="shared" si="50"/>
        <v>0.154991081306871+464.973243920611i</v>
      </c>
      <c r="AS149" s="93" t="str">
        <f t="shared" si="51"/>
        <v>9999999999+9999999i</v>
      </c>
      <c r="AU149" s="87" t="str">
        <f t="shared" si="46"/>
        <v>0.154991082306871+464.973243920611i</v>
      </c>
      <c r="AV149" s="87" t="str">
        <f t="shared" si="52"/>
        <v>-3099821151.31915+4649733988651.8i</v>
      </c>
      <c r="AW149" s="87" t="str">
        <f t="shared" si="53"/>
        <v>9999999999.15499+10000463.9732439i</v>
      </c>
      <c r="AX149" s="87" t="str">
        <f t="shared" si="54"/>
        <v>0.155012702280189+464.973243884576i</v>
      </c>
      <c r="AY149" s="87" t="str">
        <f t="shared" si="55"/>
        <v>0.155112702280189+453.560733931013i</v>
      </c>
      <c r="AZ149" s="87">
        <f t="shared" si="56"/>
        <v>29.999999999999925</v>
      </c>
      <c r="BA149" s="87">
        <f t="shared" si="57"/>
        <v>453.56076045441756</v>
      </c>
    </row>
    <row r="150" spans="1:53" x14ac:dyDescent="0.25">
      <c r="AO150" s="87">
        <f t="shared" si="47"/>
        <v>30.199999999999925</v>
      </c>
      <c r="AP150" s="126" t="str">
        <f t="shared" si="48"/>
        <v>0.0001-11.3369304174463i</v>
      </c>
      <c r="AQ150" s="105" t="str">
        <f t="shared" si="49"/>
        <v>0.000000001</v>
      </c>
      <c r="AR150" s="105" t="str">
        <f t="shared" si="50"/>
        <v>0.154991081306871+468.073065546748i</v>
      </c>
      <c r="AS150" s="93" t="str">
        <f t="shared" si="51"/>
        <v>9999999999+9999999i</v>
      </c>
      <c r="AU150" s="87" t="str">
        <f t="shared" si="46"/>
        <v>0.154991082306871+468.073065546748i</v>
      </c>
      <c r="AV150" s="87" t="str">
        <f t="shared" si="52"/>
        <v>-3130819364.4807+4680732204910.08i</v>
      </c>
      <c r="AW150" s="87" t="str">
        <f t="shared" si="53"/>
        <v>9999999999.15499+10000467.0730655i</v>
      </c>
      <c r="AX150" s="87" t="str">
        <f t="shared" si="54"/>
        <v>0.155012991507516+468.073065510329i</v>
      </c>
      <c r="AY150" s="87" t="str">
        <f t="shared" si="55"/>
        <v>0.155112991507516+456.736135092883i</v>
      </c>
      <c r="AZ150" s="87">
        <f t="shared" si="56"/>
        <v>30.199999999999925</v>
      </c>
      <c r="BA150" s="87">
        <f t="shared" si="57"/>
        <v>456.73616143198518</v>
      </c>
    </row>
    <row r="151" spans="1:53" x14ac:dyDescent="0.25">
      <c r="AO151" s="87">
        <f t="shared" si="47"/>
        <v>30.399999999999924</v>
      </c>
      <c r="AP151" s="126" t="str">
        <f t="shared" si="48"/>
        <v>0.0001-11.2623453489105i</v>
      </c>
      <c r="AQ151" s="105" t="str">
        <f t="shared" si="49"/>
        <v>0.000000001</v>
      </c>
      <c r="AR151" s="105" t="str">
        <f t="shared" si="50"/>
        <v>0.154991081306871+471.172887172886i</v>
      </c>
      <c r="AS151" s="93" t="str">
        <f t="shared" si="51"/>
        <v>9999999999+9999999i</v>
      </c>
      <c r="AU151" s="87" t="str">
        <f t="shared" si="46"/>
        <v>0.154991082306871+471.172887172886i</v>
      </c>
      <c r="AV151" s="87" t="str">
        <f t="shared" si="52"/>
        <v>-3161817577.64225+4711730421168.36i</v>
      </c>
      <c r="AW151" s="87" t="str">
        <f t="shared" si="53"/>
        <v>9999999999.15499+10000470.1728872i</v>
      </c>
      <c r="AX151" s="87" t="str">
        <f t="shared" si="54"/>
        <v>0.155013282656625+471.17288713608i</v>
      </c>
      <c r="AY151" s="87" t="str">
        <f t="shared" si="55"/>
        <v>0.155113282656625+459.91054178717i</v>
      </c>
      <c r="AZ151" s="87">
        <f t="shared" si="56"/>
        <v>30.399999999999924</v>
      </c>
      <c r="BA151" s="87">
        <f t="shared" si="57"/>
        <v>459.91056794457188</v>
      </c>
    </row>
    <row r="152" spans="1:53" x14ac:dyDescent="0.25">
      <c r="AO152" s="87">
        <f t="shared" si="47"/>
        <v>30.599999999999923</v>
      </c>
      <c r="AP152" s="126" t="str">
        <f t="shared" si="48"/>
        <v>0.0001-11.1887352485908i</v>
      </c>
      <c r="AQ152" s="105" t="str">
        <f t="shared" si="49"/>
        <v>0.000000001</v>
      </c>
      <c r="AR152" s="105" t="str">
        <f t="shared" si="50"/>
        <v>0.154991081306871+474.272708799023i</v>
      </c>
      <c r="AS152" s="93" t="str">
        <f t="shared" si="51"/>
        <v>9999999999+9999999i</v>
      </c>
      <c r="AU152" s="87" t="str">
        <f t="shared" si="46"/>
        <v>0.154991082306871+474.272708799023i</v>
      </c>
      <c r="AV152" s="87" t="str">
        <f t="shared" si="52"/>
        <v>-3192815790.8038+4742728637426.63i</v>
      </c>
      <c r="AW152" s="87" t="str">
        <f t="shared" si="53"/>
        <v>9999999999.15499+10000473.2727088i</v>
      </c>
      <c r="AX152" s="87" t="str">
        <f t="shared" si="54"/>
        <v>0.155013575727505+474.272708761827i</v>
      </c>
      <c r="AY152" s="87" t="str">
        <f t="shared" si="55"/>
        <v>0.155113575727505+463.083973513236i</v>
      </c>
      <c r="AZ152" s="87">
        <f t="shared" si="56"/>
        <v>30.599999999999923</v>
      </c>
      <c r="BA152" s="87">
        <f t="shared" si="57"/>
        <v>463.08399949148406</v>
      </c>
    </row>
    <row r="153" spans="1:53" x14ac:dyDescent="0.25">
      <c r="AO153" s="87">
        <f t="shared" si="47"/>
        <v>30.799999999999923</v>
      </c>
      <c r="AP153" s="126" t="str">
        <f t="shared" si="48"/>
        <v>0.0001-11.1160811235999i</v>
      </c>
      <c r="AQ153" s="105" t="str">
        <f t="shared" si="49"/>
        <v>0.000000001</v>
      </c>
      <c r="AR153" s="105" t="str">
        <f t="shared" si="50"/>
        <v>0.154991081306871+477.372530425161i</v>
      </c>
      <c r="AS153" s="93" t="str">
        <f t="shared" si="51"/>
        <v>9999999999+9999999i</v>
      </c>
      <c r="AU153" s="87" t="str">
        <f t="shared" si="46"/>
        <v>0.154991082306871+477.372530425161i</v>
      </c>
      <c r="AV153" s="87" t="str">
        <f t="shared" si="52"/>
        <v>-3223814003.96536+4773726853684.91i</v>
      </c>
      <c r="AW153" s="87" t="str">
        <f t="shared" si="53"/>
        <v>9999999999.15499+10000476.3725304i</v>
      </c>
      <c r="AX153" s="87" t="str">
        <f t="shared" si="54"/>
        <v>0.155013870720162+477.372530387574i</v>
      </c>
      <c r="AY153" s="87" t="str">
        <f t="shared" si="55"/>
        <v>0.155113870720162+466.256449263974i</v>
      </c>
      <c r="AZ153" s="87">
        <f t="shared" si="56"/>
        <v>30.799999999999923</v>
      </c>
      <c r="BA153" s="87">
        <f t="shared" si="57"/>
        <v>466.25647506556049</v>
      </c>
    </row>
    <row r="154" spans="1:53" x14ac:dyDescent="0.25">
      <c r="AO154" s="87">
        <f t="shared" si="47"/>
        <v>30.999999999999922</v>
      </c>
      <c r="AP154" s="126" t="str">
        <f t="shared" si="48"/>
        <v>0.0001-11.0443644711896i</v>
      </c>
      <c r="AQ154" s="105" t="str">
        <f t="shared" si="49"/>
        <v>0.000000001</v>
      </c>
      <c r="AR154" s="105" t="str">
        <f t="shared" si="50"/>
        <v>0.154991081306871+480.472352051298i</v>
      </c>
      <c r="AS154" s="93" t="str">
        <f t="shared" si="51"/>
        <v>9999999999+9999999i</v>
      </c>
      <c r="AU154" s="87" t="str">
        <f t="shared" si="46"/>
        <v>0.154991082306871+480.472352051298i</v>
      </c>
      <c r="AV154" s="87" t="str">
        <f t="shared" si="52"/>
        <v>-3254812217.12691+4804725069943.18i</v>
      </c>
      <c r="AW154" s="87" t="str">
        <f t="shared" si="53"/>
        <v>9999999999.15499+10000479.4723521i</v>
      </c>
      <c r="AX154" s="87" t="str">
        <f t="shared" si="54"/>
        <v>0.1550141676346+480.472352013318i</v>
      </c>
      <c r="AY154" s="87" t="str">
        <f t="shared" si="55"/>
        <v>0.1551141676346+469.427987542128i</v>
      </c>
      <c r="AZ154" s="87">
        <f t="shared" si="56"/>
        <v>30.999999999999922</v>
      </c>
      <c r="BA154" s="87">
        <f t="shared" si="57"/>
        <v>469.4280131694926</v>
      </c>
    </row>
    <row r="155" spans="1:53" x14ac:dyDescent="0.25">
      <c r="A155" s="97"/>
      <c r="AO155" s="87">
        <f t="shared" si="47"/>
        <v>31.199999999999921</v>
      </c>
      <c r="AP155" s="126" t="str">
        <f t="shared" si="48"/>
        <v>0.0001-10.973567263041i</v>
      </c>
      <c r="AQ155" s="105" t="str">
        <f t="shared" si="49"/>
        <v>0.000000001</v>
      </c>
      <c r="AR155" s="105" t="str">
        <f t="shared" si="50"/>
        <v>0.154991081306871+483.572173677435i</v>
      </c>
      <c r="AS155" s="93" t="str">
        <f t="shared" si="51"/>
        <v>9999999999+9999999i</v>
      </c>
      <c r="AU155" s="87" t="str">
        <f t="shared" si="46"/>
        <v>0.154991082306871+483.572173677435i</v>
      </c>
      <c r="AV155" s="87" t="str">
        <f t="shared" si="52"/>
        <v>-3285810430.28846+4835723286201.45i</v>
      </c>
      <c r="AW155" s="87" t="str">
        <f t="shared" si="53"/>
        <v>9999999999.15499+10000482.5721737i</v>
      </c>
      <c r="AX155" s="87" t="str">
        <f t="shared" si="54"/>
        <v>0.155014466470811+483.57217363906i</v>
      </c>
      <c r="AY155" s="87" t="str">
        <f t="shared" si="55"/>
        <v>0.155114466470811+472.598606376019i</v>
      </c>
      <c r="AZ155" s="87">
        <f t="shared" si="56"/>
        <v>31.199999999999921</v>
      </c>
      <c r="BA155" s="87">
        <f t="shared" si="57"/>
        <v>472.59863183155011</v>
      </c>
    </row>
    <row r="156" spans="1:53" x14ac:dyDescent="0.25">
      <c r="AO156" s="87">
        <f t="shared" si="47"/>
        <v>31.39999999999992</v>
      </c>
      <c r="AP156" s="126" t="str">
        <f t="shared" si="48"/>
        <v>0.0001-10.9036719301554i</v>
      </c>
      <c r="AQ156" s="105" t="str">
        <f t="shared" si="49"/>
        <v>0.000000001</v>
      </c>
      <c r="AR156" s="105" t="str">
        <f t="shared" si="50"/>
        <v>0.154991081306871+486.671995303573i</v>
      </c>
      <c r="AS156" s="93" t="str">
        <f t="shared" si="51"/>
        <v>9999999999+9999999i</v>
      </c>
      <c r="AU156" s="87" t="str">
        <f t="shared" si="46"/>
        <v>0.154991082306871+486.671995303573i</v>
      </c>
      <c r="AV156" s="87" t="str">
        <f t="shared" si="52"/>
        <v>-3316808643.45002+4866721502459.73i</v>
      </c>
      <c r="AW156" s="87" t="str">
        <f t="shared" si="53"/>
        <v>9999999999.15499+10000485.6719953i</v>
      </c>
      <c r="AX156" s="87" t="str">
        <f t="shared" si="54"/>
        <v>0.155014767228798+486.671995264801i</v>
      </c>
      <c r="AY156" s="87" t="str">
        <f t="shared" si="55"/>
        <v>0.155114767228798+475.768323334646i</v>
      </c>
      <c r="AZ156" s="87">
        <f t="shared" si="56"/>
        <v>31.39999999999992</v>
      </c>
      <c r="BA156" s="87">
        <f t="shared" si="57"/>
        <v>475.7683486206825</v>
      </c>
    </row>
    <row r="157" spans="1:53" x14ac:dyDescent="0.25">
      <c r="AO157" s="87">
        <f t="shared" si="47"/>
        <v>31.59999999999992</v>
      </c>
      <c r="AP157" s="126" t="str">
        <f t="shared" si="48"/>
        <v>0.0001-10.8346613483189i</v>
      </c>
      <c r="AQ157" s="105" t="str">
        <f t="shared" si="49"/>
        <v>0.000000001</v>
      </c>
      <c r="AR157" s="105" t="str">
        <f t="shared" si="50"/>
        <v>0.154991081306871+489.77181692971i</v>
      </c>
      <c r="AS157" s="93" t="str">
        <f t="shared" si="51"/>
        <v>9999999999+9999999i</v>
      </c>
      <c r="AU157" s="87" t="str">
        <f t="shared" si="46"/>
        <v>0.154991082306871+489.77181692971i</v>
      </c>
      <c r="AV157" s="87" t="str">
        <f t="shared" si="52"/>
        <v>-3347806856.61156+4897719718718i</v>
      </c>
      <c r="AW157" s="87" t="str">
        <f t="shared" si="53"/>
        <v>9999999999.15499+10000488.7718169i</v>
      </c>
      <c r="AX157" s="87" t="str">
        <f t="shared" si="54"/>
        <v>0.155015069908563+489.77181689054i</v>
      </c>
      <c r="AY157" s="87" t="str">
        <f t="shared" si="55"/>
        <v>0.155115069908563+478.937155542221i</v>
      </c>
      <c r="AZ157" s="87">
        <f t="shared" si="56"/>
        <v>31.59999999999992</v>
      </c>
      <c r="BA157" s="87">
        <f t="shared" si="57"/>
        <v>478.93718066105333</v>
      </c>
    </row>
    <row r="158" spans="1:53" x14ac:dyDescent="0.25">
      <c r="AO158" s="87">
        <f t="shared" si="47"/>
        <v>31.799999999999919</v>
      </c>
      <c r="AP158" s="126" t="str">
        <f t="shared" si="48"/>
        <v>0.0001-10.7665188241157i</v>
      </c>
      <c r="AQ158" s="105" t="str">
        <f t="shared" si="49"/>
        <v>0.000000001</v>
      </c>
      <c r="AR158" s="105" t="str">
        <f t="shared" si="50"/>
        <v>0.154991081306871+492.871638555848i</v>
      </c>
      <c r="AS158" s="93" t="str">
        <f t="shared" si="51"/>
        <v>9999999999+9999999i</v>
      </c>
      <c r="AU158" s="87" t="str">
        <f t="shared" si="46"/>
        <v>0.154991082306871+492.871638555848i</v>
      </c>
      <c r="AV158" s="87" t="str">
        <f t="shared" si="52"/>
        <v>-3378805069.77312+4928717934976.28i</v>
      </c>
      <c r="AW158" s="87" t="str">
        <f t="shared" si="53"/>
        <v>9999999999.15499+10000491.8716386i</v>
      </c>
      <c r="AX158" s="87" t="str">
        <f t="shared" si="54"/>
        <v>0.15501537451011+492.871638516277i</v>
      </c>
      <c r="AY158" s="87" t="str">
        <f t="shared" si="55"/>
        <v>0.15511537451011+482.105119692161i</v>
      </c>
      <c r="AZ158" s="87">
        <f t="shared" si="56"/>
        <v>31.799999999999919</v>
      </c>
      <c r="BA158" s="87">
        <f t="shared" si="57"/>
        <v>482.10514464603284</v>
      </c>
    </row>
    <row r="159" spans="1:53" x14ac:dyDescent="0.25">
      <c r="AO159" s="87">
        <f t="shared" si="47"/>
        <v>31.999999999999918</v>
      </c>
      <c r="AP159" s="126" t="str">
        <f t="shared" si="48"/>
        <v>0.0001-10.6992280814649i</v>
      </c>
      <c r="AQ159" s="105" t="str">
        <f t="shared" si="49"/>
        <v>0.000000001</v>
      </c>
      <c r="AR159" s="105" t="str">
        <f t="shared" si="50"/>
        <v>0.154991081306871+495.971460181985i</v>
      </c>
      <c r="AS159" s="93" t="str">
        <f t="shared" si="51"/>
        <v>9999999999+9999999i</v>
      </c>
      <c r="AU159" s="87" t="str">
        <f t="shared" si="46"/>
        <v>0.154991082306871+495.971460181985i</v>
      </c>
      <c r="AV159" s="87" t="str">
        <f t="shared" si="52"/>
        <v>-3409803282.93467+4959716151234.55i</v>
      </c>
      <c r="AW159" s="87" t="str">
        <f t="shared" si="53"/>
        <v>9999999999.15499+10000494.9714602i</v>
      </c>
      <c r="AX159" s="87" t="str">
        <f t="shared" si="54"/>
        <v>0.155015681033428+495.971460142011i</v>
      </c>
      <c r="AY159" s="87" t="str">
        <f t="shared" si="55"/>
        <v>0.155115681033428+485.272232060546i</v>
      </c>
      <c r="AZ159" s="87">
        <f t="shared" si="56"/>
        <v>31.999999999999918</v>
      </c>
      <c r="BA159" s="87">
        <f t="shared" si="57"/>
        <v>485.2722568516553</v>
      </c>
    </row>
    <row r="160" spans="1:53" x14ac:dyDescent="0.25">
      <c r="AO160" s="87">
        <f t="shared" si="47"/>
        <v>32.199999999999918</v>
      </c>
      <c r="AP160" s="126" t="str">
        <f t="shared" si="48"/>
        <v>0.0001-10.6327732486608i</v>
      </c>
      <c r="AQ160" s="105" t="str">
        <f t="shared" si="49"/>
        <v>0.000000001</v>
      </c>
      <c r="AR160" s="105" t="str">
        <f t="shared" si="50"/>
        <v>0.154991081306871+499.071281808122i</v>
      </c>
      <c r="AS160" s="93" t="str">
        <f t="shared" si="51"/>
        <v>9999999999+9999999i</v>
      </c>
      <c r="AU160" s="87" t="str">
        <f t="shared" si="46"/>
        <v>0.154991082306871+499.071281808122i</v>
      </c>
      <c r="AV160" s="87" t="str">
        <f t="shared" si="52"/>
        <v>-3440801496.09622+4990714367492.82i</v>
      </c>
      <c r="AW160" s="87" t="str">
        <f t="shared" si="53"/>
        <v>9999999999.15499+10000498.0712818i</v>
      </c>
      <c r="AX160" s="87" t="str">
        <f t="shared" si="54"/>
        <v>0.155015989478523+499.071281767744i</v>
      </c>
      <c r="AY160" s="87" t="str">
        <f t="shared" si="55"/>
        <v>0.155115989478523+488.438508519083i</v>
      </c>
      <c r="AZ160" s="87">
        <f t="shared" si="56"/>
        <v>32.199999999999918</v>
      </c>
      <c r="BA160" s="87">
        <f t="shared" si="57"/>
        <v>488.43853314958318</v>
      </c>
    </row>
    <row r="161" spans="2:53" x14ac:dyDescent="0.25">
      <c r="AO161" s="87">
        <f t="shared" si="47"/>
        <v>32.39999999999992</v>
      </c>
      <c r="AP161" s="126" t="str">
        <f t="shared" si="48"/>
        <v>0.0001-10.5671388458913i</v>
      </c>
      <c r="AQ161" s="105" t="str">
        <f t="shared" si="49"/>
        <v>0.000000001</v>
      </c>
      <c r="AR161" s="105" t="str">
        <f t="shared" si="50"/>
        <v>0.154991081306871+502.17110343426i</v>
      </c>
      <c r="AS161" s="93" t="str">
        <f t="shared" si="51"/>
        <v>9999999999+9999999i</v>
      </c>
      <c r="AU161" s="87" t="str">
        <f t="shared" si="46"/>
        <v>0.154991082306871+502.17110343426i</v>
      </c>
      <c r="AV161" s="87" t="str">
        <f t="shared" si="52"/>
        <v>-3471799709.25778+5021712583751.1i</v>
      </c>
      <c r="AW161" s="87" t="str">
        <f t="shared" si="53"/>
        <v>9999999999.15499+10000501.1711034i</v>
      </c>
      <c r="AX161" s="87" t="str">
        <f t="shared" si="54"/>
        <v>0.155016299845394+502.171103393475i</v>
      </c>
      <c r="AY161" s="87" t="str">
        <f t="shared" si="55"/>
        <v>0.155116299845394+491.603964547584i</v>
      </c>
      <c r="AZ161" s="87">
        <f t="shared" si="56"/>
        <v>32.39999999999992</v>
      </c>
      <c r="BA161" s="87">
        <f t="shared" si="57"/>
        <v>491.60398901958541</v>
      </c>
    </row>
    <row r="162" spans="2:53" x14ac:dyDescent="0.25">
      <c r="AO162" s="87">
        <f t="shared" si="47"/>
        <v>32.599999999999923</v>
      </c>
      <c r="AP162" s="126" t="str">
        <f t="shared" si="48"/>
        <v>0.0001-10.5023097732171i</v>
      </c>
      <c r="AQ162" s="105" t="str">
        <f t="shared" si="49"/>
        <v>0.000000001</v>
      </c>
      <c r="AR162" s="105" t="str">
        <f t="shared" si="50"/>
        <v>0.154991081306871+505.270925060397i</v>
      </c>
      <c r="AS162" s="93" t="str">
        <f t="shared" si="51"/>
        <v>9999999999+9999999i</v>
      </c>
      <c r="AU162" s="87" t="str">
        <f t="shared" si="46"/>
        <v>0.154991082306871+505.270925060397i</v>
      </c>
      <c r="AV162" s="87" t="str">
        <f t="shared" si="52"/>
        <v>-3502797922.41933+5052710800009.37i</v>
      </c>
      <c r="AW162" s="87" t="str">
        <f t="shared" si="53"/>
        <v>9999999999.15499+10000504.2709251i</v>
      </c>
      <c r="AX162" s="87" t="str">
        <f t="shared" si="54"/>
        <v>0.155016612134048+505.270925019204i</v>
      </c>
      <c r="AY162" s="87" t="str">
        <f t="shared" si="55"/>
        <v>0.155116612134048+494.768615245987i</v>
      </c>
      <c r="AZ162" s="87">
        <f t="shared" si="56"/>
        <v>32.599999999999923</v>
      </c>
      <c r="BA162" s="87">
        <f t="shared" si="57"/>
        <v>494.76863956155808</v>
      </c>
    </row>
    <row r="163" spans="2:53" x14ac:dyDescent="0.25">
      <c r="AO163" s="87">
        <f t="shared" si="47"/>
        <v>32.799999999999926</v>
      </c>
      <c r="AP163" s="126" t="str">
        <f t="shared" si="48"/>
        <v>0.0001-10.4382712989902i</v>
      </c>
      <c r="AQ163" s="105" t="str">
        <f t="shared" si="49"/>
        <v>0.000000001</v>
      </c>
      <c r="AR163" s="105" t="str">
        <f t="shared" si="50"/>
        <v>0.154991081306871+508.370746686535i</v>
      </c>
      <c r="AS163" s="93" t="str">
        <f t="shared" si="51"/>
        <v>9999999999+9999999i</v>
      </c>
      <c r="AU163" s="87" t="str">
        <f t="shared" si="46"/>
        <v>0.154991082306871+508.370746686535i</v>
      </c>
      <c r="AV163" s="87" t="str">
        <f t="shared" si="52"/>
        <v>-3533796135.58088+5083709016267.65i</v>
      </c>
      <c r="AW163" s="87" t="str">
        <f t="shared" si="53"/>
        <v>9999999999.15499+10000507.3707467i</v>
      </c>
      <c r="AX163" s="87" t="str">
        <f t="shared" si="54"/>
        <v>0.155016926344475+508.370746644931i</v>
      </c>
      <c r="AY163" s="87" t="str">
        <f t="shared" si="55"/>
        <v>0.155116926344475+497.932475345941i</v>
      </c>
      <c r="AZ163" s="87">
        <f t="shared" si="56"/>
        <v>32.799999999999926</v>
      </c>
      <c r="BA163" s="87">
        <f t="shared" si="57"/>
        <v>497.9324995071089</v>
      </c>
    </row>
    <row r="164" spans="2:53" x14ac:dyDescent="0.25">
      <c r="AO164" s="87">
        <f t="shared" si="47"/>
        <v>32.999999999999929</v>
      </c>
      <c r="AP164" s="126" t="str">
        <f t="shared" si="48"/>
        <v>0.0001-10.3750090486933i</v>
      </c>
      <c r="AQ164" s="105" t="str">
        <f t="shared" si="49"/>
        <v>0.000000001</v>
      </c>
      <c r="AR164" s="105" t="str">
        <f t="shared" si="50"/>
        <v>0.154991081306871+511.470568312672i</v>
      </c>
      <c r="AS164" s="93" t="str">
        <f t="shared" si="51"/>
        <v>9999999999+9999999i</v>
      </c>
      <c r="AU164" s="87" t="str">
        <f t="shared" si="46"/>
        <v>0.154991082306871+511.470568312672i</v>
      </c>
      <c r="AV164" s="87" t="str">
        <f t="shared" si="52"/>
        <v>-3564794348.74243+5114707232525.92i</v>
      </c>
      <c r="AW164" s="87" t="str">
        <f t="shared" si="53"/>
        <v>9999999999.15499+10000510.4705683i</v>
      </c>
      <c r="AX164" s="87" t="str">
        <f t="shared" si="54"/>
        <v>0.155017242476678+511.470568270656i</v>
      </c>
      <c r="AY164" s="87" t="str">
        <f t="shared" si="55"/>
        <v>0.155117242476678+501.095559221963i</v>
      </c>
      <c r="AZ164" s="87">
        <f t="shared" si="56"/>
        <v>32.999999999999929</v>
      </c>
      <c r="BA164" s="87">
        <f t="shared" si="57"/>
        <v>501.09558323071531</v>
      </c>
    </row>
    <row r="165" spans="2:53" x14ac:dyDescent="0.25">
      <c r="AO165" s="87">
        <f t="shared" si="47"/>
        <v>33.199999999999932</v>
      </c>
      <c r="AP165" s="126" t="str">
        <f t="shared" si="48"/>
        <v>0.0001-10.3125089941831i</v>
      </c>
      <c r="AQ165" s="105" t="str">
        <f t="shared" si="49"/>
        <v>0.000000001</v>
      </c>
      <c r="AR165" s="105" t="str">
        <f t="shared" si="50"/>
        <v>0.154991081306871+514.57038993881i</v>
      </c>
      <c r="AS165" s="93" t="str">
        <f t="shared" si="51"/>
        <v>9999999999+9999999i</v>
      </c>
      <c r="AU165" s="87" t="str">
        <f t="shared" si="46"/>
        <v>0.154991082306871+514.57038993881i</v>
      </c>
      <c r="AV165" s="87" t="str">
        <f t="shared" si="52"/>
        <v>-3595792561.90399+5145705448784.2i</v>
      </c>
      <c r="AW165" s="87" t="str">
        <f t="shared" si="53"/>
        <v>9999999999.15499+10000513.5703899i</v>
      </c>
      <c r="AX165" s="87" t="str">
        <f t="shared" si="54"/>
        <v>0.155017560530657+514.57038989638i</v>
      </c>
      <c r="AY165" s="87" t="str">
        <f t="shared" si="55"/>
        <v>0.155117560530657+504.257880902197i</v>
      </c>
      <c r="AZ165" s="87">
        <f t="shared" si="56"/>
        <v>33.199999999999932</v>
      </c>
      <c r="BA165" s="87">
        <f t="shared" si="57"/>
        <v>504.25790476048252</v>
      </c>
    </row>
    <row r="166" spans="2:53" ht="21" x14ac:dyDescent="0.35">
      <c r="B166" s="286" t="s">
        <v>192</v>
      </c>
      <c r="C166" s="286"/>
      <c r="D166" s="286"/>
      <c r="E166" s="286"/>
      <c r="F166" s="286"/>
      <c r="G166" s="286"/>
      <c r="H166" s="286"/>
      <c r="I166" s="286"/>
      <c r="J166" s="286"/>
      <c r="K166" s="286"/>
      <c r="L166" s="286"/>
      <c r="AO166" s="87">
        <f t="shared" si="47"/>
        <v>33.399999999999935</v>
      </c>
      <c r="AP166" s="126" t="str">
        <f t="shared" si="48"/>
        <v>0.0001-10.2507574433197i</v>
      </c>
      <c r="AQ166" s="105" t="str">
        <f t="shared" si="49"/>
        <v>0.000000001</v>
      </c>
      <c r="AR166" s="105" t="str">
        <f t="shared" si="50"/>
        <v>0.154991081306871+517.670211564947i</v>
      </c>
      <c r="AS166" s="93" t="str">
        <f t="shared" si="51"/>
        <v>9999999999+9999999i</v>
      </c>
      <c r="AU166" s="87" t="str">
        <f t="shared" si="46"/>
        <v>0.154991082306871+517.670211564947i</v>
      </c>
      <c r="AV166" s="87" t="str">
        <f t="shared" si="52"/>
        <v>-3626790775.06554+5176703665042.47i</v>
      </c>
      <c r="AW166" s="87" t="str">
        <f t="shared" si="53"/>
        <v>9999999999.15499+10000516.6702116i</v>
      </c>
      <c r="AX166" s="87" t="str">
        <f t="shared" si="54"/>
        <v>0.155017880506419+517.670211522101i</v>
      </c>
      <c r="AY166" s="87" t="str">
        <f t="shared" si="55"/>
        <v>0.155117880506419+507.419454078781i</v>
      </c>
      <c r="AZ166" s="87">
        <f t="shared" si="56"/>
        <v>33.399999999999935</v>
      </c>
      <c r="BA166" s="87">
        <f t="shared" si="57"/>
        <v>507.41947778851079</v>
      </c>
    </row>
    <row r="167" spans="2:53" x14ac:dyDescent="0.25">
      <c r="B167" s="91"/>
      <c r="D167" s="92"/>
      <c r="AO167" s="87">
        <f t="shared" si="47"/>
        <v>33.599999999999937</v>
      </c>
      <c r="AP167" s="126" t="str">
        <f t="shared" si="48"/>
        <v>0.0001-10.1897410299666i</v>
      </c>
      <c r="AQ167" s="105" t="str">
        <f t="shared" si="49"/>
        <v>0.000000001</v>
      </c>
      <c r="AR167" s="105" t="str">
        <f t="shared" si="50"/>
        <v>0.154991081306871+520.770033191085i</v>
      </c>
      <c r="AS167" s="93" t="str">
        <f t="shared" si="51"/>
        <v>9999999999+9999999i</v>
      </c>
      <c r="AU167" s="87" t="str">
        <f t="shared" si="46"/>
        <v>0.154991082306871+520.770033191085i</v>
      </c>
      <c r="AV167" s="87" t="str">
        <f t="shared" si="52"/>
        <v>-3657788988.2271+5207701881300.75i</v>
      </c>
      <c r="AW167" s="87" t="str">
        <f t="shared" si="53"/>
        <v>9999999999.15499+10000519.7700332i</v>
      </c>
      <c r="AX167" s="87" t="str">
        <f t="shared" si="54"/>
        <v>0.155018202403952+520.770033147821i</v>
      </c>
      <c r="AY167" s="87" t="str">
        <f t="shared" si="55"/>
        <v>0.155118202403952+510.580292117854i</v>
      </c>
      <c r="AZ167" s="87">
        <f t="shared" si="56"/>
        <v>33.599999999999937</v>
      </c>
      <c r="BA167" s="87">
        <f t="shared" si="57"/>
        <v>510.58031568090234</v>
      </c>
    </row>
    <row r="168" spans="2:53" x14ac:dyDescent="0.25">
      <c r="B168" s="91" t="s">
        <v>190</v>
      </c>
      <c r="D168" s="92">
        <f>0.05*D30*3</f>
        <v>126.61544269224686</v>
      </c>
      <c r="E168" s="87" t="str">
        <f t="shared" ref="E168:E178" si="58">"Watts, 3-Phase or "&amp;ROUND(D168*3.412141,0)&amp;" BTUs/Hour"</f>
        <v>Watts, 3-Phase or 432 BTUs/Hour</v>
      </c>
      <c r="AO168" s="87">
        <f t="shared" si="47"/>
        <v>33.79999999999994</v>
      </c>
      <c r="AP168" s="126" t="str">
        <f t="shared" si="48"/>
        <v>0.0001-10.1294467043455i</v>
      </c>
      <c r="AQ168" s="105" t="str">
        <f t="shared" si="49"/>
        <v>0.000000001</v>
      </c>
      <c r="AR168" s="105" t="str">
        <f t="shared" si="50"/>
        <v>0.154991081306871+523.869854817222i</v>
      </c>
      <c r="AS168" s="93" t="str">
        <f t="shared" si="51"/>
        <v>9999999999+9999999i</v>
      </c>
      <c r="AU168" s="87" t="str">
        <f t="shared" si="46"/>
        <v>0.154991082306871+523.869854817222i</v>
      </c>
      <c r="AV168" s="87" t="str">
        <f t="shared" si="52"/>
        <v>-3688787201.38865+5238700097559.02i</v>
      </c>
      <c r="AW168" s="87" t="str">
        <f t="shared" si="53"/>
        <v>9999999999.15499+10000522.8698548i</v>
      </c>
      <c r="AX168" s="87" t="str">
        <f t="shared" si="54"/>
        <v>0.155018526223262+523.869854773538i</v>
      </c>
      <c r="AY168" s="87" t="str">
        <f t="shared" si="55"/>
        <v>0.155118526223262+513.740408069193i</v>
      </c>
      <c r="AZ168" s="87">
        <f t="shared" si="56"/>
        <v>33.79999999999994</v>
      </c>
      <c r="BA168" s="87">
        <f t="shared" si="57"/>
        <v>513.74043148739827</v>
      </c>
    </row>
    <row r="169" spans="2:53" x14ac:dyDescent="0.25">
      <c r="B169" s="99" t="s">
        <v>188</v>
      </c>
      <c r="D169" s="92">
        <f>(1.8*D34+11)*D31*3</f>
        <v>516.33755460442126</v>
      </c>
      <c r="E169" s="87" t="str">
        <f t="shared" si="58"/>
        <v>Watts, 3-Phase or 1762 BTUs/Hour</v>
      </c>
      <c r="H169" s="87" t="s">
        <v>0</v>
      </c>
      <c r="J169" s="106"/>
      <c r="K169" s="105"/>
      <c r="AO169" s="87">
        <f t="shared" si="47"/>
        <v>33.999999999999943</v>
      </c>
      <c r="AP169" s="126" t="str">
        <f t="shared" si="48"/>
        <v>0.0001-10.0698617237317i</v>
      </c>
      <c r="AQ169" s="105" t="str">
        <f t="shared" si="49"/>
        <v>0.000000001</v>
      </c>
      <c r="AR169" s="105" t="str">
        <f t="shared" si="50"/>
        <v>0.154991081306871+526.96967644336i</v>
      </c>
      <c r="AS169" s="93" t="str">
        <f t="shared" si="51"/>
        <v>9999999999+9999999i</v>
      </c>
      <c r="AU169" s="87" t="str">
        <f t="shared" si="46"/>
        <v>0.154991082306871+526.96967644336i</v>
      </c>
      <c r="AV169" s="87" t="str">
        <f t="shared" si="52"/>
        <v>-3719785414.5502+5269698313817.3i</v>
      </c>
      <c r="AW169" s="87" t="str">
        <f t="shared" si="53"/>
        <v>9999999999.15499+10000525.9696764i</v>
      </c>
      <c r="AX169" s="87" t="str">
        <f t="shared" si="54"/>
        <v>0.15501885196435+526.969676399254i</v>
      </c>
      <c r="AY169" s="87" t="str">
        <f t="shared" si="55"/>
        <v>0.15511885196435+516.899814675522i</v>
      </c>
      <c r="AZ169" s="87">
        <f t="shared" si="56"/>
        <v>33.999999999999943</v>
      </c>
      <c r="BA169" s="87">
        <f t="shared" si="57"/>
        <v>516.8998379506877</v>
      </c>
    </row>
    <row r="170" spans="2:53" x14ac:dyDescent="0.25">
      <c r="B170" s="91"/>
      <c r="D170" s="92"/>
      <c r="H170" s="87" t="s">
        <v>0</v>
      </c>
      <c r="J170" s="106"/>
      <c r="K170" s="105"/>
      <c r="AO170" s="87">
        <f t="shared" si="47"/>
        <v>34.199999999999946</v>
      </c>
      <c r="AP170" s="126" t="str">
        <f t="shared" si="48"/>
        <v>0.0001-10.010973643476i</v>
      </c>
      <c r="AQ170" s="105" t="str">
        <f t="shared" si="49"/>
        <v>0.000000001</v>
      </c>
      <c r="AR170" s="105" t="str">
        <f t="shared" si="50"/>
        <v>0.154991081306871+530.069498069497i</v>
      </c>
      <c r="AS170" s="93" t="str">
        <f t="shared" si="51"/>
        <v>9999999999+9999999i</v>
      </c>
      <c r="AU170" s="87" t="str">
        <f t="shared" si="46"/>
        <v>0.154991082306871+530.069498069497i</v>
      </c>
      <c r="AV170" s="87" t="str">
        <f t="shared" si="52"/>
        <v>-3750783627.71175+5300696530075.57i</v>
      </c>
      <c r="AW170" s="87" t="str">
        <f t="shared" si="53"/>
        <v>9999999999.15499+10000529.0694981i</v>
      </c>
      <c r="AX170" s="87" t="str">
        <f t="shared" si="54"/>
        <v>0.155019179627219+530.069498024967i</v>
      </c>
      <c r="AY170" s="87" t="str">
        <f t="shared" si="55"/>
        <v>0.155119179627219+520.058524381491i</v>
      </c>
      <c r="AZ170" s="87">
        <f t="shared" si="56"/>
        <v>34.199999999999946</v>
      </c>
      <c r="BA170" s="87">
        <f t="shared" si="57"/>
        <v>520.05854751538675</v>
      </c>
    </row>
    <row r="171" spans="2:53" x14ac:dyDescent="0.25">
      <c r="B171" s="81"/>
      <c r="D171" s="25"/>
      <c r="AO171" s="87">
        <f t="shared" si="47"/>
        <v>34.399999999999949</v>
      </c>
      <c r="AP171" s="126" t="str">
        <f t="shared" si="48"/>
        <v>0.0001-9.95277030833948i</v>
      </c>
      <c r="AQ171" s="105" t="str">
        <f t="shared" si="49"/>
        <v>0.000000001</v>
      </c>
      <c r="AR171" s="105" t="str">
        <f t="shared" si="50"/>
        <v>0.154991081306871+533.169319695634i</v>
      </c>
      <c r="AS171" s="93" t="str">
        <f t="shared" si="51"/>
        <v>9999999999+9999999i</v>
      </c>
      <c r="AU171" s="87" t="str">
        <f t="shared" si="46"/>
        <v>0.154991082306871+533.169319695634i</v>
      </c>
      <c r="AV171" s="87" t="str">
        <f t="shared" si="52"/>
        <v>-3781781840.8733+5331694746333.84i</v>
      </c>
      <c r="AW171" s="87" t="str">
        <f t="shared" si="53"/>
        <v>9999999999.15499+10000532.1693197i</v>
      </c>
      <c r="AX171" s="87" t="str">
        <f t="shared" si="54"/>
        <v>0.15501950921186+533.169319650679i</v>
      </c>
      <c r="AY171" s="87" t="str">
        <f t="shared" si="55"/>
        <v>0.15511950921186+523.216549342339i</v>
      </c>
      <c r="AZ171" s="87">
        <f t="shared" si="56"/>
        <v>34.399999999999949</v>
      </c>
      <c r="BA171" s="87">
        <f t="shared" si="57"/>
        <v>523.21657233670112</v>
      </c>
    </row>
    <row r="172" spans="2:53" x14ac:dyDescent="0.25">
      <c r="B172" s="91"/>
      <c r="D172" s="92"/>
      <c r="AO172" s="87">
        <f t="shared" si="47"/>
        <v>34.599999999999952</v>
      </c>
      <c r="AP172" s="126" t="str">
        <f t="shared" si="48"/>
        <v>0.0001-9.89523984412942i</v>
      </c>
      <c r="AQ172" s="105" t="str">
        <f t="shared" si="49"/>
        <v>0.000000001</v>
      </c>
      <c r="AR172" s="105" t="str">
        <f t="shared" si="50"/>
        <v>0.154991081306871+536.269141321772i</v>
      </c>
      <c r="AS172" s="93" t="str">
        <f t="shared" si="51"/>
        <v>9999999999+9999999i</v>
      </c>
      <c r="AU172" s="87" t="str">
        <f t="shared" si="46"/>
        <v>0.154991082306871+536.269141321772i</v>
      </c>
      <c r="AV172" s="87" t="str">
        <f t="shared" si="52"/>
        <v>-3812780054.03486+5362692962592.12i</v>
      </c>
      <c r="AW172" s="87" t="str">
        <f t="shared" si="53"/>
        <v>9999999999.15499+10000535.2691413i</v>
      </c>
      <c r="AX172" s="87" t="str">
        <f t="shared" si="54"/>
        <v>0.155019840718278+536.269141276389i</v>
      </c>
      <c r="AY172" s="87" t="str">
        <f t="shared" si="55"/>
        <v>0.155119840718278+526.37390143226i</v>
      </c>
      <c r="AZ172" s="87">
        <f t="shared" si="56"/>
        <v>34.599999999999952</v>
      </c>
      <c r="BA172" s="87">
        <f t="shared" si="57"/>
        <v>526.37392428879264</v>
      </c>
    </row>
    <row r="173" spans="2:53" x14ac:dyDescent="0.25">
      <c r="B173" s="81" t="str">
        <f>"Iron-Core Reactor Losses, "&amp;D11&amp;" Hertz"</f>
        <v>Iron-Core Reactor Losses, 60 Hertz</v>
      </c>
      <c r="D173" s="92">
        <f>3*T99</f>
        <v>998.09473221284645</v>
      </c>
      <c r="E173" s="87" t="str">
        <f t="shared" si="58"/>
        <v>Watts, 3-Phase or 3406 BTUs/Hour</v>
      </c>
      <c r="AO173" s="87">
        <f t="shared" si="47"/>
        <v>34.799999999999955</v>
      </c>
      <c r="AP173" s="126" t="str">
        <f t="shared" si="48"/>
        <v>0.0001-9.83837064962293i</v>
      </c>
      <c r="AQ173" s="105" t="str">
        <f t="shared" si="49"/>
        <v>0.000000001</v>
      </c>
      <c r="AR173" s="105" t="str">
        <f t="shared" si="50"/>
        <v>0.154991081306871+539.368962947909i</v>
      </c>
      <c r="AS173" s="93" t="str">
        <f t="shared" si="51"/>
        <v>9999999999+9999999i</v>
      </c>
      <c r="AU173" s="87" t="str">
        <f t="shared" si="46"/>
        <v>0.154991082306871+539.368962947909i</v>
      </c>
      <c r="AV173" s="87" t="str">
        <f t="shared" si="52"/>
        <v>-3843778267.19641+5393691178850.39i</v>
      </c>
      <c r="AW173" s="87" t="str">
        <f t="shared" si="53"/>
        <v>9999999999.15499+10000538.3689629i</v>
      </c>
      <c r="AX173" s="87" t="str">
        <f t="shared" si="54"/>
        <v>0.155020174146473+539.368962902096i</v>
      </c>
      <c r="AY173" s="87" t="str">
        <f t="shared" si="55"/>
        <v>0.155120174146473+529.530592252473i</v>
      </c>
      <c r="AZ173" s="87">
        <f t="shared" si="56"/>
        <v>34.799999999999955</v>
      </c>
      <c r="BA173" s="87">
        <f t="shared" si="57"/>
        <v>529.53061497284853</v>
      </c>
    </row>
    <row r="174" spans="2:53" ht="15.75" thickBot="1" x14ac:dyDescent="0.3">
      <c r="B174" s="91" t="s">
        <v>193</v>
      </c>
      <c r="D174" s="182">
        <f>3*SUM(U99:AI99)</f>
        <v>4465.6030346135594</v>
      </c>
      <c r="E174" s="87" t="str">
        <f t="shared" si="58"/>
        <v>Watts, 3-Phase or 15237 BTUs/Hour</v>
      </c>
      <c r="AO174" s="87">
        <f t="shared" si="47"/>
        <v>34.999999999999957</v>
      </c>
      <c r="AP174" s="126" t="str">
        <f t="shared" si="48"/>
        <v>0.0001-9.78215138876794i</v>
      </c>
      <c r="AQ174" s="105" t="str">
        <f t="shared" si="49"/>
        <v>0.000000001</v>
      </c>
      <c r="AR174" s="105" t="str">
        <f t="shared" si="50"/>
        <v>0.154991081306871+542.468784574047i</v>
      </c>
      <c r="AS174" s="93" t="str">
        <f t="shared" si="51"/>
        <v>9999999999+9999999i</v>
      </c>
      <c r="AU174" s="87" t="str">
        <f t="shared" si="46"/>
        <v>0.154991082306871+542.468784574047i</v>
      </c>
      <c r="AV174" s="87" t="str">
        <f t="shared" si="52"/>
        <v>-3874776480.35797+5424689395108.67i</v>
      </c>
      <c r="AW174" s="87" t="str">
        <f t="shared" si="53"/>
        <v>9999999999.15499+10000541.4687846i</v>
      </c>
      <c r="AX174" s="87" t="str">
        <f t="shared" si="54"/>
        <v>0.155020509496449+542.468784527803i</v>
      </c>
      <c r="AY174" s="87" t="str">
        <f t="shared" si="55"/>
        <v>0.155120509496449+532.686633139035i</v>
      </c>
      <c r="AZ174" s="87">
        <f t="shared" si="56"/>
        <v>34.999999999999957</v>
      </c>
      <c r="BA174" s="87">
        <f t="shared" si="57"/>
        <v>532.68665572489556</v>
      </c>
    </row>
    <row r="175" spans="2:53" ht="15.75" thickTop="1" x14ac:dyDescent="0.25">
      <c r="E175" s="87" t="s">
        <v>0</v>
      </c>
      <c r="AO175" s="87">
        <f t="shared" si="47"/>
        <v>35.19999999999996</v>
      </c>
      <c r="AP175" s="126" t="str">
        <f t="shared" si="48"/>
        <v>0.0001-9.72657098314994i</v>
      </c>
      <c r="AQ175" s="105" t="str">
        <f t="shared" si="49"/>
        <v>0.000000001</v>
      </c>
      <c r="AR175" s="105" t="str">
        <f t="shared" si="50"/>
        <v>0.154991081306871+545.568606200184i</v>
      </c>
      <c r="AS175" s="93" t="str">
        <f t="shared" si="51"/>
        <v>9999999999+9999999i</v>
      </c>
      <c r="AU175" s="87" t="str">
        <f t="shared" si="46"/>
        <v>0.154991082306871+545.568606200184i</v>
      </c>
      <c r="AV175" s="87" t="str">
        <f t="shared" si="52"/>
        <v>-3905774693.51952+5455687611366.94i</v>
      </c>
      <c r="AW175" s="87" t="str">
        <f t="shared" si="53"/>
        <v>9999999999.15499+10000544.5686062i</v>
      </c>
      <c r="AX175" s="87" t="str">
        <f t="shared" si="54"/>
        <v>0.155020846768198+545.568606153506i</v>
      </c>
      <c r="AY175" s="87" t="str">
        <f t="shared" si="55"/>
        <v>0.155120846768198+535.842035170356i</v>
      </c>
      <c r="AZ175" s="87">
        <f t="shared" si="56"/>
        <v>35.19999999999996</v>
      </c>
      <c r="BA175" s="87">
        <f t="shared" si="57"/>
        <v>535.84205762331317</v>
      </c>
    </row>
    <row r="176" spans="2:53" x14ac:dyDescent="0.25">
      <c r="B176" s="91" t="str">
        <f>"Total "&amp;D11&amp;" Hz Losses "</f>
        <v xml:space="preserve">Total 60 Hz Losses </v>
      </c>
      <c r="D176" s="92">
        <f>SUM(D167:D171)+SUM(D173)</f>
        <v>1641.0477295095147</v>
      </c>
      <c r="E176" s="87" t="str">
        <f t="shared" si="58"/>
        <v>Watts, 3-Phase or 5599 BTUs/Hour</v>
      </c>
      <c r="AO176" s="87">
        <f t="shared" si="47"/>
        <v>35.399999999999963</v>
      </c>
      <c r="AP176" s="126" t="str">
        <f t="shared" si="48"/>
        <v>0.0001-9.67161860471406i</v>
      </c>
      <c r="AQ176" s="105" t="str">
        <f t="shared" si="49"/>
        <v>0.000000001</v>
      </c>
      <c r="AR176" s="105" t="str">
        <f t="shared" si="50"/>
        <v>0.154991081306871+548.668427826322i</v>
      </c>
      <c r="AS176" s="93" t="str">
        <f t="shared" si="51"/>
        <v>9999999999+9999999i</v>
      </c>
      <c r="AU176" s="87" t="str">
        <f t="shared" si="46"/>
        <v>0.154991082306871+548.668427826322i</v>
      </c>
      <c r="AV176" s="87" t="str">
        <f t="shared" si="52"/>
        <v>-3936772906.68107+5486685827625.22i</v>
      </c>
      <c r="AW176" s="87" t="str">
        <f t="shared" si="53"/>
        <v>9999999999.15499+10000547.6684278i</v>
      </c>
      <c r="AX176" s="87" t="str">
        <f t="shared" si="54"/>
        <v>0.155021185961724+548.668427779209i</v>
      </c>
      <c r="AY176" s="87" t="str">
        <f t="shared" si="55"/>
        <v>0.155121185961724+538.996809174495i</v>
      </c>
      <c r="AZ176" s="87">
        <f t="shared" si="56"/>
        <v>35.399999999999963</v>
      </c>
      <c r="BA176" s="87">
        <f t="shared" si="57"/>
        <v>538.99683149613156</v>
      </c>
    </row>
    <row r="177" spans="2:53" ht="15.75" thickBot="1" x14ac:dyDescent="0.3">
      <c r="B177" s="91" t="s">
        <v>194</v>
      </c>
      <c r="D177" s="182">
        <f>D174+D172</f>
        <v>4465.6030346135594</v>
      </c>
      <c r="E177" s="87" t="str">
        <f t="shared" si="58"/>
        <v>Watts, 3-Phase or 15237 BTUs/Hour</v>
      </c>
      <c r="AO177" s="87">
        <f t="shared" si="47"/>
        <v>35.599999999999966</v>
      </c>
      <c r="AP177" s="126" t="str">
        <f t="shared" si="48"/>
        <v>0.0001-9.61728366873252i</v>
      </c>
      <c r="AQ177" s="105" t="str">
        <f t="shared" si="49"/>
        <v>0.000000001</v>
      </c>
      <c r="AR177" s="105" t="str">
        <f t="shared" si="50"/>
        <v>0.154991081306871+551.768249452459i</v>
      </c>
      <c r="AS177" s="93" t="str">
        <f t="shared" si="51"/>
        <v>9999999999+9999999i</v>
      </c>
      <c r="AU177" s="87" t="str">
        <f t="shared" si="46"/>
        <v>0.154991082306871+551.768249452459i</v>
      </c>
      <c r="AV177" s="87" t="str">
        <f t="shared" si="52"/>
        <v>-3967771119.84262+5517684043883.49i</v>
      </c>
      <c r="AW177" s="87" t="str">
        <f t="shared" si="53"/>
        <v>9999999999.15499+10000550.7682495i</v>
      </c>
      <c r="AX177" s="87" t="str">
        <f t="shared" si="54"/>
        <v>0.155021527077032+551.768249404909i</v>
      </c>
      <c r="AY177" s="87" t="str">
        <f t="shared" si="55"/>
        <v>0.155121527077032+542.150965736177i</v>
      </c>
      <c r="AZ177" s="87">
        <f t="shared" si="56"/>
        <v>35.599999999999966</v>
      </c>
      <c r="BA177" s="87">
        <f t="shared" si="57"/>
        <v>542.15098792804713</v>
      </c>
    </row>
    <row r="178" spans="2:53" ht="15.75" thickTop="1" x14ac:dyDescent="0.25">
      <c r="B178" s="183" t="s">
        <v>195</v>
      </c>
      <c r="C178" s="96"/>
      <c r="D178" s="184">
        <f>SUM(D176:D177)</f>
        <v>6106.6507641230746</v>
      </c>
      <c r="E178" s="96" t="str">
        <f t="shared" si="58"/>
        <v>Watts, 3-Phase or 20837 BTUs/Hour</v>
      </c>
      <c r="F178" s="96"/>
      <c r="G178" s="96"/>
      <c r="H178" s="96"/>
      <c r="I178" s="96"/>
      <c r="J178" s="96"/>
      <c r="K178" s="96"/>
      <c r="L178" s="96"/>
      <c r="AO178" s="87">
        <f t="shared" si="47"/>
        <v>35.799999999999969</v>
      </c>
      <c r="AP178" s="126" t="str">
        <f t="shared" si="48"/>
        <v>0.0001-9.56355582700776i</v>
      </c>
      <c r="AQ178" s="105" t="str">
        <f t="shared" si="49"/>
        <v>0.000000001</v>
      </c>
      <c r="AR178" s="105" t="str">
        <f t="shared" si="50"/>
        <v>0.154991081306871+554.868071078597i</v>
      </c>
      <c r="AS178" s="93" t="str">
        <f t="shared" si="51"/>
        <v>9999999999+9999999i</v>
      </c>
      <c r="AU178" s="87" t="str">
        <f t="shared" si="46"/>
        <v>0.154991082306871+554.868071078597i</v>
      </c>
      <c r="AV178" s="87" t="str">
        <f t="shared" si="52"/>
        <v>-3998769333.00418+5548682260141.77i</v>
      </c>
      <c r="AW178" s="87" t="str">
        <f t="shared" si="53"/>
        <v>9999999999.15499+10000553.8680711i</v>
      </c>
      <c r="AX178" s="87" t="str">
        <f t="shared" si="54"/>
        <v>0.155021870114111+554.868071030608i</v>
      </c>
      <c r="AY178" s="87" t="str">
        <f t="shared" si="55"/>
        <v>0.155121870114111+545.3045152036i</v>
      </c>
      <c r="AZ178" s="87">
        <f t="shared" si="56"/>
        <v>35.799999999999969</v>
      </c>
      <c r="BA178" s="87">
        <f t="shared" si="57"/>
        <v>545.30453726722999</v>
      </c>
    </row>
    <row r="179" spans="2:53" x14ac:dyDescent="0.25">
      <c r="AO179" s="87">
        <f t="shared" si="47"/>
        <v>35.999999999999972</v>
      </c>
      <c r="AP179" s="126" t="str">
        <f t="shared" si="48"/>
        <v>0.0001-9.51042496130216i</v>
      </c>
      <c r="AQ179" s="105" t="str">
        <f t="shared" si="49"/>
        <v>0.000000001</v>
      </c>
      <c r="AR179" s="105" t="str">
        <f t="shared" si="50"/>
        <v>0.154991081306871+557.967892704734i</v>
      </c>
      <c r="AS179" s="93" t="str">
        <f t="shared" si="51"/>
        <v>9999999999+9999999i</v>
      </c>
      <c r="AU179" s="87" t="str">
        <f t="shared" si="46"/>
        <v>0.154991082306871+557.967892704734i</v>
      </c>
      <c r="AV179" s="87" t="str">
        <f t="shared" si="52"/>
        <v>-4029767546.16573+5579680476400.04i</v>
      </c>
      <c r="AW179" s="87" t="str">
        <f t="shared" si="53"/>
        <v>9999999999.15499+10000556.9678927i</v>
      </c>
      <c r="AX179" s="87" t="str">
        <f t="shared" si="54"/>
        <v>0.155022215072967+557.967892656304i</v>
      </c>
      <c r="AY179" s="87" t="str">
        <f t="shared" si="55"/>
        <v>0.155122215072967+548.457467695002i</v>
      </c>
      <c r="AZ179" s="87">
        <f t="shared" si="56"/>
        <v>35.999999999999972</v>
      </c>
      <c r="BA179" s="87">
        <f t="shared" si="57"/>
        <v>548.45748963189101</v>
      </c>
    </row>
    <row r="180" spans="2:53" x14ac:dyDescent="0.25">
      <c r="AO180" s="87">
        <f t="shared" si="47"/>
        <v>36.199999999999974</v>
      </c>
      <c r="AP180" s="126" t="str">
        <f t="shared" si="48"/>
        <v>0.0001-9.45788117698557i</v>
      </c>
      <c r="AQ180" s="105" t="str">
        <f t="shared" si="49"/>
        <v>0.000000001</v>
      </c>
      <c r="AR180" s="105" t="str">
        <f t="shared" si="50"/>
        <v>0.154991081306871+561.067714330872i</v>
      </c>
      <c r="AS180" s="93" t="str">
        <f t="shared" si="51"/>
        <v>9999999999+9999999i</v>
      </c>
      <c r="AU180" s="87" t="str">
        <f t="shared" si="46"/>
        <v>0.154991082306871+561.067714330872i</v>
      </c>
      <c r="AV180" s="87" t="str">
        <f t="shared" si="52"/>
        <v>-4060765759.32729+5610678692658.32i</v>
      </c>
      <c r="AW180" s="87" t="str">
        <f t="shared" si="53"/>
        <v>9999999999.15499+10000560.0677143i</v>
      </c>
      <c r="AX180" s="87" t="str">
        <f t="shared" si="54"/>
        <v>0.1550225619536+561.067714281999i</v>
      </c>
      <c r="AY180" s="87" t="str">
        <f t="shared" si="55"/>
        <v>0.1551225619536+551.609833105013i</v>
      </c>
      <c r="AZ180" s="87">
        <f t="shared" si="56"/>
        <v>36.199999999999974</v>
      </c>
      <c r="BA180" s="87">
        <f t="shared" si="57"/>
        <v>551.60985491663348</v>
      </c>
    </row>
    <row r="181" spans="2:53" x14ac:dyDescent="0.25">
      <c r="AO181" s="87">
        <f t="shared" si="47"/>
        <v>36.399999999999977</v>
      </c>
      <c r="AP181" s="126" t="str">
        <f t="shared" si="48"/>
        <v>0.0001-9.40591479689224i</v>
      </c>
      <c r="AQ181" s="105" t="str">
        <f t="shared" si="49"/>
        <v>0.000000001</v>
      </c>
      <c r="AR181" s="105" t="str">
        <f t="shared" si="50"/>
        <v>0.154991081306871+564.167535957009i</v>
      </c>
      <c r="AS181" s="93" t="str">
        <f t="shared" si="51"/>
        <v>9999999999+9999999i</v>
      </c>
      <c r="AU181" s="87" t="str">
        <f t="shared" si="46"/>
        <v>0.154991082306871+564.167535957009i</v>
      </c>
      <c r="AV181" s="87" t="str">
        <f t="shared" si="52"/>
        <v>-4091763972.48884+5641676908916.59i</v>
      </c>
      <c r="AW181" s="87" t="str">
        <f t="shared" si="53"/>
        <v>9999999999.15499+10000563.167536i</v>
      </c>
      <c r="AX181" s="87" t="str">
        <f t="shared" si="54"/>
        <v>0.155022910756015+564.167535907691i</v>
      </c>
      <c r="AY181" s="87" t="str">
        <f t="shared" si="55"/>
        <v>0.155122910756015+554.761621110799i</v>
      </c>
      <c r="AZ181" s="87">
        <f t="shared" si="56"/>
        <v>36.399999999999977</v>
      </c>
      <c r="BA181" s="87">
        <f t="shared" si="57"/>
        <v>554.7616427985979</v>
      </c>
    </row>
    <row r="182" spans="2:53" x14ac:dyDescent="0.25">
      <c r="AO182" s="87">
        <f t="shared" si="47"/>
        <v>36.59999999999998</v>
      </c>
      <c r="AP182" s="126" t="str">
        <f t="shared" si="48"/>
        <v>0.0001-9.35451635537917i</v>
      </c>
      <c r="AQ182" s="105" t="str">
        <f t="shared" si="49"/>
        <v>0.000000001</v>
      </c>
      <c r="AR182" s="105" t="str">
        <f t="shared" si="50"/>
        <v>0.154991081306871+567.267357583147i</v>
      </c>
      <c r="AS182" s="93" t="str">
        <f t="shared" si="51"/>
        <v>9999999999+9999999i</v>
      </c>
      <c r="AU182" s="87" t="str">
        <f t="shared" si="46"/>
        <v>0.154991082306871+567.267357583147i</v>
      </c>
      <c r="AV182" s="87" t="str">
        <f t="shared" si="52"/>
        <v>-4122762185.65039+5672675125174.87i</v>
      </c>
      <c r="AW182" s="87" t="str">
        <f t="shared" si="53"/>
        <v>9999999999.15499+10000566.2673576i</v>
      </c>
      <c r="AX182" s="87" t="str">
        <f t="shared" si="54"/>
        <v>0.155023261480203+567.267357533382i</v>
      </c>
      <c r="AY182" s="87" t="str">
        <f t="shared" si="55"/>
        <v>0.155123261480203+557.912841178003i</v>
      </c>
      <c r="AZ182" s="87">
        <f t="shared" si="56"/>
        <v>36.59999999999998</v>
      </c>
      <c r="BA182" s="87">
        <f t="shared" si="57"/>
        <v>557.91286274340177</v>
      </c>
    </row>
    <row r="183" spans="2:53" x14ac:dyDescent="0.25">
      <c r="AO183" s="87">
        <f t="shared" si="47"/>
        <v>36.799999999999983</v>
      </c>
      <c r="AP183" s="126" t="str">
        <f t="shared" si="48"/>
        <v>0.0001-9.3036765925782i</v>
      </c>
      <c r="AQ183" s="105" t="str">
        <f t="shared" si="49"/>
        <v>0.000000001</v>
      </c>
      <c r="AR183" s="105" t="str">
        <f t="shared" si="50"/>
        <v>0.154991081306871+570.367179209284i</v>
      </c>
      <c r="AS183" s="93" t="str">
        <f t="shared" si="51"/>
        <v>9999999999+9999999i</v>
      </c>
      <c r="AU183" s="87" t="str">
        <f t="shared" si="46"/>
        <v>0.154991082306871+570.367179209284i</v>
      </c>
      <c r="AV183" s="87" t="str">
        <f t="shared" si="52"/>
        <v>-4153760398.81194+5703673341433.14i</v>
      </c>
      <c r="AW183" s="87" t="str">
        <f t="shared" si="53"/>
        <v>9999999999.15499+10000569.3671792i</v>
      </c>
      <c r="AX183" s="87" t="str">
        <f t="shared" si="54"/>
        <v>0.155023614126166+570.36717915907i</v>
      </c>
      <c r="AY183" s="87" t="str">
        <f t="shared" si="55"/>
        <v>0.155123614126166+561.063502566492i</v>
      </c>
      <c r="AZ183" s="87">
        <f t="shared" si="56"/>
        <v>36.799999999999983</v>
      </c>
      <c r="BA183" s="87">
        <f t="shared" si="57"/>
        <v>561.06352401088748</v>
      </c>
    </row>
    <row r="184" spans="2:53" x14ac:dyDescent="0.25">
      <c r="AO184" s="87">
        <f t="shared" si="47"/>
        <v>36.999999999999986</v>
      </c>
      <c r="AP184" s="126" t="str">
        <f t="shared" si="48"/>
        <v>0.0001-9.25338644883453i</v>
      </c>
      <c r="AQ184" s="105" t="str">
        <f t="shared" si="49"/>
        <v>0.000000001</v>
      </c>
      <c r="AR184" s="105" t="str">
        <f t="shared" si="50"/>
        <v>0.154991081306871+573.467000835421i</v>
      </c>
      <c r="AS184" s="93" t="str">
        <f t="shared" si="51"/>
        <v>9999999999+9999999i</v>
      </c>
      <c r="AU184" s="87" t="str">
        <f t="shared" si="46"/>
        <v>0.154991082306871+573.467000835421i</v>
      </c>
      <c r="AV184" s="87" t="str">
        <f t="shared" si="52"/>
        <v>-4184758611.97349+5734671557691.41i</v>
      </c>
      <c r="AW184" s="87" t="str">
        <f t="shared" si="53"/>
        <v>9999999999.15499+10000572.4670008i</v>
      </c>
      <c r="AX184" s="87" t="str">
        <f t="shared" si="54"/>
        <v>0.155023968693907+573.467000784756i</v>
      </c>
      <c r="AY184" s="87" t="str">
        <f t="shared" si="55"/>
        <v>0.155123968693907+564.213614335922i</v>
      </c>
      <c r="AZ184" s="87">
        <f t="shared" si="56"/>
        <v>36.999999999999986</v>
      </c>
      <c r="BA184" s="87">
        <f t="shared" si="57"/>
        <v>564.2136356606868</v>
      </c>
    </row>
    <row r="185" spans="2:53" x14ac:dyDescent="0.25">
      <c r="AO185" s="87">
        <f t="shared" si="47"/>
        <v>37.199999999999989</v>
      </c>
      <c r="AP185" s="126" t="str">
        <f t="shared" si="48"/>
        <v>0.0001-9.20363705932467i</v>
      </c>
      <c r="AQ185" s="105" t="str">
        <f t="shared" si="49"/>
        <v>0.000000001</v>
      </c>
      <c r="AR185" s="105" t="str">
        <f t="shared" si="50"/>
        <v>0.154991081306871+576.566822461559i</v>
      </c>
      <c r="AS185" s="93" t="str">
        <f t="shared" si="51"/>
        <v>9999999999+9999999i</v>
      </c>
      <c r="AU185" s="87" t="str">
        <f t="shared" si="46"/>
        <v>0.154991082306871+576.566822461559i</v>
      </c>
      <c r="AV185" s="87" t="str">
        <f t="shared" si="52"/>
        <v>-4215756825.13505+5765669773949.69i</v>
      </c>
      <c r="AW185" s="87" t="str">
        <f t="shared" si="53"/>
        <v>9999999999.15499+10000575.5668225i</v>
      </c>
      <c r="AX185" s="87" t="str">
        <f t="shared" si="54"/>
        <v>0.15502432518343+576.566822410442i</v>
      </c>
      <c r="AY185" s="87" t="str">
        <f t="shared" si="55"/>
        <v>0.15512432518343+567.363185351117i</v>
      </c>
      <c r="AZ185" s="87">
        <f t="shared" si="56"/>
        <v>37.199999999999989</v>
      </c>
      <c r="BA185" s="87">
        <f t="shared" si="57"/>
        <v>567.36320655760028</v>
      </c>
    </row>
    <row r="186" spans="2:53" x14ac:dyDescent="0.25">
      <c r="AO186" s="87">
        <f t="shared" si="47"/>
        <v>37.399999999999991</v>
      </c>
      <c r="AP186" s="126" t="str">
        <f t="shared" si="48"/>
        <v>0.0001-9.15441974884699i</v>
      </c>
      <c r="AQ186" s="105" t="str">
        <f t="shared" si="49"/>
        <v>0.000000001</v>
      </c>
      <c r="AR186" s="105" t="str">
        <f t="shared" si="50"/>
        <v>0.154991081306871+579.666644087696i</v>
      </c>
      <c r="AS186" s="93" t="str">
        <f t="shared" si="51"/>
        <v>9999999999+9999999i</v>
      </c>
      <c r="AU186" s="87" t="str">
        <f t="shared" si="46"/>
        <v>0.154991082306871+579.666644087696i</v>
      </c>
      <c r="AV186" s="87" t="str">
        <f t="shared" si="52"/>
        <v>-4246755038.2966+5796667990207.96i</v>
      </c>
      <c r="AW186" s="87" t="str">
        <f t="shared" si="53"/>
        <v>9999999999.15499+10000578.6666441i</v>
      </c>
      <c r="AX186" s="87" t="str">
        <f t="shared" si="54"/>
        <v>0.155024683594724+579.666644036124i</v>
      </c>
      <c r="AY186" s="87" t="str">
        <f t="shared" si="55"/>
        <v>0.155124683594724+570.512224287277i</v>
      </c>
      <c r="AZ186" s="87">
        <f t="shared" si="56"/>
        <v>37.399999999999991</v>
      </c>
      <c r="BA186" s="87">
        <f t="shared" si="57"/>
        <v>570.51224537680491</v>
      </c>
    </row>
    <row r="187" spans="2:53" x14ac:dyDescent="0.25">
      <c r="AO187" s="87">
        <f t="shared" si="47"/>
        <v>37.599999999999994</v>
      </c>
      <c r="AP187" s="126" t="str">
        <f t="shared" si="48"/>
        <v>0.0001-9.10572602677866i</v>
      </c>
      <c r="AQ187" s="105" t="str">
        <f t="shared" si="49"/>
        <v>0.000000001</v>
      </c>
      <c r="AR187" s="105" t="str">
        <f t="shared" si="50"/>
        <v>0.154991081306871+582.766465713834i</v>
      </c>
      <c r="AS187" s="93" t="str">
        <f t="shared" si="51"/>
        <v>9999999999+9999999i</v>
      </c>
      <c r="AU187" s="87" t="str">
        <f t="shared" si="46"/>
        <v>0.154991082306871+582.766465713834i</v>
      </c>
      <c r="AV187" s="87" t="str">
        <f t="shared" si="52"/>
        <v>-4277753251.45816+5827666206466.24i</v>
      </c>
      <c r="AW187" s="87" t="str">
        <f t="shared" si="53"/>
        <v>9999999999.15499+10000581.7664657i</v>
      </c>
      <c r="AX187" s="87" t="str">
        <f t="shared" si="54"/>
        <v>0.155025043927795+582.766465661806i</v>
      </c>
      <c r="AY187" s="87" t="str">
        <f t="shared" si="55"/>
        <v>0.155125043927795+573.660739635027i</v>
      </c>
      <c r="AZ187" s="87">
        <f t="shared" si="56"/>
        <v>37.599999999999994</v>
      </c>
      <c r="BA187" s="87">
        <f t="shared" si="57"/>
        <v>573.66076060890327</v>
      </c>
    </row>
    <row r="188" spans="2:53" x14ac:dyDescent="0.25">
      <c r="AO188" s="87">
        <f t="shared" si="47"/>
        <v>37.799999999999997</v>
      </c>
      <c r="AP188" s="126" t="str">
        <f t="shared" si="48"/>
        <v>0.0001-9.05754758219253i</v>
      </c>
      <c r="AQ188" s="105" t="str">
        <f t="shared" si="49"/>
        <v>0.000000001</v>
      </c>
      <c r="AR188" s="105" t="str">
        <f t="shared" si="50"/>
        <v>0.154991081306871+585.866287339971i</v>
      </c>
      <c r="AS188" s="93" t="str">
        <f t="shared" si="51"/>
        <v>9999999999+9999999i</v>
      </c>
      <c r="AU188" s="87" t="str">
        <f t="shared" si="46"/>
        <v>0.154991082306871+585.866287339971i</v>
      </c>
      <c r="AV188" s="87" t="str">
        <f t="shared" si="52"/>
        <v>-4308751464.6197+5858664422724.51i</v>
      </c>
      <c r="AW188" s="87" t="str">
        <f t="shared" si="53"/>
        <v>9999999999.15499+10000584.8662873i</v>
      </c>
      <c r="AX188" s="87" t="str">
        <f t="shared" si="54"/>
        <v>0.155025406182644+585.866287287484i</v>
      </c>
      <c r="AY188" s="87" t="str">
        <f t="shared" si="55"/>
        <v>0.155125406182644+576.808739705291i</v>
      </c>
      <c r="AZ188" s="87">
        <f t="shared" si="56"/>
        <v>37.799999999999997</v>
      </c>
      <c r="BA188" s="87">
        <f t="shared" si="57"/>
        <v>576.80876056479747</v>
      </c>
    </row>
    <row r="189" spans="2:53" x14ac:dyDescent="0.25">
      <c r="AO189" s="87">
        <f t="shared" si="47"/>
        <v>38</v>
      </c>
      <c r="AP189" s="126" t="str">
        <f t="shared" si="48"/>
        <v>0.0001-9.00987627912835i</v>
      </c>
      <c r="AQ189" s="105" t="str">
        <f t="shared" si="49"/>
        <v>0.000000001</v>
      </c>
      <c r="AR189" s="105" t="str">
        <f t="shared" si="50"/>
        <v>0.154991081306871+588.966108966109i</v>
      </c>
      <c r="AS189" s="93" t="str">
        <f t="shared" si="51"/>
        <v>9999999999+9999999i</v>
      </c>
      <c r="AU189" s="87" t="str">
        <f t="shared" si="46"/>
        <v>0.154991082306871+588.966108966109i</v>
      </c>
      <c r="AV189" s="87" t="str">
        <f t="shared" si="52"/>
        <v>-4339749677.78126+5889662638982.79i</v>
      </c>
      <c r="AW189" s="87" t="str">
        <f t="shared" si="53"/>
        <v>9999999999.15499+10000587.966109i</v>
      </c>
      <c r="AX189" s="87" t="str">
        <f t="shared" si="54"/>
        <v>0.155025770359275+588.966108913162i</v>
      </c>
      <c r="AY189" s="87" t="str">
        <f t="shared" si="55"/>
        <v>0.155125770359275+579.956232634034i</v>
      </c>
      <c r="AZ189" s="87">
        <f t="shared" si="56"/>
        <v>38</v>
      </c>
      <c r="BA189" s="87">
        <f t="shared" si="57"/>
        <v>579.95625338043078</v>
      </c>
    </row>
    <row r="190" spans="2:53" x14ac:dyDescent="0.25">
      <c r="AO190" s="87">
        <f t="shared" si="47"/>
        <v>38.200000000000003</v>
      </c>
      <c r="AP190" s="126" t="str">
        <f t="shared" si="48"/>
        <v>0.0001-8.9627041520125i</v>
      </c>
      <c r="AQ190" s="105" t="str">
        <f t="shared" si="49"/>
        <v>0.000000001</v>
      </c>
      <c r="AR190" s="105" t="str">
        <f t="shared" si="50"/>
        <v>0.154991081306871+592.065930592246i</v>
      </c>
      <c r="AS190" s="93" t="str">
        <f t="shared" si="51"/>
        <v>9999999999+9999999i</v>
      </c>
      <c r="AU190" s="87" t="str">
        <f t="shared" si="46"/>
        <v>0.154991082306871+592.065930592246i</v>
      </c>
      <c r="AV190" s="87" t="str">
        <f t="shared" si="52"/>
        <v>-4370747890.94281+5920660855241.06i</v>
      </c>
      <c r="AW190" s="87" t="str">
        <f t="shared" si="53"/>
        <v>9999999999.15499+10000591.0659306i</v>
      </c>
      <c r="AX190" s="87" t="str">
        <f t="shared" si="54"/>
        <v>0.155026136457677+592.065930538837i</v>
      </c>
      <c r="AY190" s="87" t="str">
        <f t="shared" si="55"/>
        <v>0.155126136457677+583.103226386825i</v>
      </c>
      <c r="AZ190" s="87">
        <f t="shared" si="56"/>
        <v>38.200000000000003</v>
      </c>
      <c r="BA190" s="87">
        <f t="shared" si="57"/>
        <v>583.10324702135131</v>
      </c>
    </row>
    <row r="191" spans="2:53" x14ac:dyDescent="0.25">
      <c r="AO191" s="87">
        <f t="shared" si="47"/>
        <v>38.400000000000006</v>
      </c>
      <c r="AP191" s="126" t="str">
        <f t="shared" si="48"/>
        <v>0.0001-8.91602340122077i</v>
      </c>
      <c r="AQ191" s="105" t="str">
        <f t="shared" si="49"/>
        <v>0.000000001</v>
      </c>
      <c r="AR191" s="105" t="str">
        <f t="shared" si="50"/>
        <v>0.154991081306871+595.165752218384i</v>
      </c>
      <c r="AS191" s="93" t="str">
        <f t="shared" si="51"/>
        <v>9999999999+9999999i</v>
      </c>
      <c r="AU191" s="87" t="str">
        <f t="shared" si="46"/>
        <v>0.154991082306871+595.165752218384i</v>
      </c>
      <c r="AV191" s="87" t="str">
        <f t="shared" si="52"/>
        <v>-4401746104.10437+5951659071499.34i</v>
      </c>
      <c r="AW191" s="87" t="str">
        <f t="shared" si="53"/>
        <v>9999999999.15499+10000594.1657522i</v>
      </c>
      <c r="AX191" s="87" t="str">
        <f t="shared" si="54"/>
        <v>0.155026504477855+595.165752164511i</v>
      </c>
      <c r="AY191" s="87" t="str">
        <f t="shared" si="55"/>
        <v>0.155126504477855+586.24972876329i</v>
      </c>
      <c r="AZ191" s="87">
        <f t="shared" si="56"/>
        <v>38.400000000000006</v>
      </c>
      <c r="BA191" s="87">
        <f t="shared" si="57"/>
        <v>586.24974928716472</v>
      </c>
    </row>
    <row r="192" spans="2:53" x14ac:dyDescent="0.25">
      <c r="AO192" s="87">
        <f t="shared" si="47"/>
        <v>38.600000000000009</v>
      </c>
      <c r="AP192" s="126" t="str">
        <f t="shared" si="48"/>
        <v>0.0001-8.86982638877921i</v>
      </c>
      <c r="AQ192" s="105" t="str">
        <f t="shared" si="49"/>
        <v>0.000000001</v>
      </c>
      <c r="AR192" s="105" t="str">
        <f t="shared" si="50"/>
        <v>0.154991081306871+598.265573844521i</v>
      </c>
      <c r="AS192" s="93" t="str">
        <f t="shared" si="51"/>
        <v>9999999999+9999999i</v>
      </c>
      <c r="AU192" s="87" t="str">
        <f t="shared" si="46"/>
        <v>0.154991082306871+598.265573844521i</v>
      </c>
      <c r="AV192" s="87" t="str">
        <f t="shared" si="52"/>
        <v>-4432744317.26592+5982657287757.61i</v>
      </c>
      <c r="AW192" s="87" t="str">
        <f t="shared" si="53"/>
        <v>9999999999.15499+10000597.2655738i</v>
      </c>
      <c r="AX192" s="87" t="str">
        <f t="shared" si="54"/>
        <v>0.155026874419811+598.265573790182i</v>
      </c>
      <c r="AY192" s="87" t="str">
        <f t="shared" si="55"/>
        <v>0.155126874419811+589.395747401403i</v>
      </c>
      <c r="AZ192" s="87">
        <f t="shared" si="56"/>
        <v>38.600000000000009</v>
      </c>
      <c r="BA192" s="87">
        <f t="shared" si="57"/>
        <v>589.3957678158248</v>
      </c>
    </row>
    <row r="193" spans="41:53" x14ac:dyDescent="0.25">
      <c r="AO193" s="87">
        <f t="shared" si="47"/>
        <v>38.800000000000011</v>
      </c>
      <c r="AP193" s="126" t="str">
        <f t="shared" si="48"/>
        <v>0.0001-8.82410563419787i</v>
      </c>
      <c r="AQ193" s="105" t="str">
        <f t="shared" si="49"/>
        <v>0.000000001</v>
      </c>
      <c r="AR193" s="105" t="str">
        <f t="shared" si="50"/>
        <v>0.154991081306871+601.365395470659i</v>
      </c>
      <c r="AS193" s="93" t="str">
        <f t="shared" si="51"/>
        <v>9999999999+9999999i</v>
      </c>
      <c r="AU193" s="87" t="str">
        <f t="shared" si="46"/>
        <v>0.154991082306871+601.365395470659i</v>
      </c>
      <c r="AV193" s="87" t="str">
        <f t="shared" si="52"/>
        <v>-4463742530.42747+6013655504015.89i</v>
      </c>
      <c r="AW193" s="87" t="str">
        <f t="shared" si="53"/>
        <v>9999999999.15499+10000600.3653955i</v>
      </c>
      <c r="AX193" s="87" t="str">
        <f t="shared" si="54"/>
        <v>0.15502724628355+601.365395415851i</v>
      </c>
      <c r="AY193" s="87" t="str">
        <f t="shared" si="55"/>
        <v>0.15512724628355+592.541289781653i</v>
      </c>
      <c r="AZ193" s="87">
        <f t="shared" si="56"/>
        <v>38.800000000000011</v>
      </c>
      <c r="BA193" s="87">
        <f t="shared" si="57"/>
        <v>592.54131008780087</v>
      </c>
    </row>
    <row r="194" spans="41:53" x14ac:dyDescent="0.25">
      <c r="AO194" s="87">
        <f t="shared" si="47"/>
        <v>39.000000000000014</v>
      </c>
      <c r="AP194" s="126" t="str">
        <f t="shared" si="48"/>
        <v>0.0001-8.77885381043275i</v>
      </c>
      <c r="AQ194" s="105" t="str">
        <f t="shared" si="49"/>
        <v>0.000000001</v>
      </c>
      <c r="AR194" s="105" t="str">
        <f t="shared" si="50"/>
        <v>0.154991081306871+604.465217096796i</v>
      </c>
      <c r="AS194" s="93" t="str">
        <f t="shared" si="51"/>
        <v>9999999999+9999999i</v>
      </c>
      <c r="AU194" s="87" t="str">
        <f t="shared" si="46"/>
        <v>0.154991082306871+604.465217096796i</v>
      </c>
      <c r="AV194" s="87" t="str">
        <f t="shared" si="52"/>
        <v>-4494740743.58902+6044653720274.16i</v>
      </c>
      <c r="AW194" s="87" t="str">
        <f t="shared" si="53"/>
        <v>9999999999.15499+10000603.4652171i</v>
      </c>
      <c r="AX194" s="87" t="str">
        <f t="shared" si="54"/>
        <v>0.15502762006906+604.465217041518i</v>
      </c>
      <c r="AY194" s="87" t="str">
        <f t="shared" si="55"/>
        <v>0.15512762006906+595.686363231085i</v>
      </c>
      <c r="AZ194" s="87">
        <f t="shared" si="56"/>
        <v>39.000000000000014</v>
      </c>
      <c r="BA194" s="87">
        <f t="shared" si="57"/>
        <v>595.68638343011901</v>
      </c>
    </row>
    <row r="195" spans="41:53" x14ac:dyDescent="0.25">
      <c r="AO195" s="87">
        <f t="shared" si="47"/>
        <v>39.200000000000017</v>
      </c>
      <c r="AP195" s="126" t="str">
        <f t="shared" si="48"/>
        <v>0.0001-8.73406373997136i</v>
      </c>
      <c r="AQ195" s="105" t="str">
        <f t="shared" si="49"/>
        <v>0.000000001</v>
      </c>
      <c r="AR195" s="105" t="str">
        <f t="shared" si="50"/>
        <v>0.154991081306871+607.565038722934i</v>
      </c>
      <c r="AS195" s="93" t="str">
        <f t="shared" si="51"/>
        <v>9999999999+9999999i</v>
      </c>
      <c r="AU195" s="87" t="str">
        <f t="shared" si="46"/>
        <v>0.154991082306871+607.565038722934i</v>
      </c>
      <c r="AV195" s="87" t="str">
        <f t="shared" si="52"/>
        <v>-4525738956.75058+6075651936532.44i</v>
      </c>
      <c r="AW195" s="87" t="str">
        <f t="shared" si="53"/>
        <v>9999999999.15499+10000606.5650387i</v>
      </c>
      <c r="AX195" s="87" t="str">
        <f t="shared" si="54"/>
        <v>0.155027995776346+607.565038667185i</v>
      </c>
      <c r="AY195" s="87" t="str">
        <f t="shared" si="55"/>
        <v>0.155127995776346+598.830974927214i</v>
      </c>
      <c r="AZ195" s="87">
        <f t="shared" si="56"/>
        <v>39.200000000000017</v>
      </c>
      <c r="BA195" s="87">
        <f t="shared" si="57"/>
        <v>598.83099502027505</v>
      </c>
    </row>
    <row r="196" spans="41:53" x14ac:dyDescent="0.25">
      <c r="AO196" s="87">
        <f t="shared" si="47"/>
        <v>39.40000000000002</v>
      </c>
      <c r="AP196" s="126" t="str">
        <f t="shared" si="48"/>
        <v>0.0001-8.6897283910375i</v>
      </c>
      <c r="AQ196" s="105" t="str">
        <f t="shared" si="49"/>
        <v>0.000000001</v>
      </c>
      <c r="AR196" s="105" t="str">
        <f t="shared" si="50"/>
        <v>0.154991081306871+610.664860349071i</v>
      </c>
      <c r="AS196" s="93" t="str">
        <f t="shared" si="51"/>
        <v>9999999999+9999999i</v>
      </c>
      <c r="AU196" s="87" t="str">
        <f t="shared" ref="AU196:AU249" si="59">IMSUM(AR196,AQ196)</f>
        <v>0.154991082306871+610.664860349071i</v>
      </c>
      <c r="AV196" s="87" t="str">
        <f t="shared" si="52"/>
        <v>-4556737169.91213+6106650152790.71i</v>
      </c>
      <c r="AW196" s="87" t="str">
        <f t="shared" si="53"/>
        <v>9999999999.15499+10000609.6648603i</v>
      </c>
      <c r="AX196" s="87" t="str">
        <f t="shared" si="54"/>
        <v>0.155028373405409+610.664860292848i</v>
      </c>
      <c r="AY196" s="87" t="str">
        <f t="shared" si="55"/>
        <v>0.155128373405409+601.97513190181i</v>
      </c>
      <c r="AZ196" s="87">
        <f t="shared" si="56"/>
        <v>39.40000000000002</v>
      </c>
      <c r="BA196" s="87">
        <f t="shared" si="57"/>
        <v>601.97515189002092</v>
      </c>
    </row>
    <row r="197" spans="41:53" x14ac:dyDescent="0.25">
      <c r="AO197" s="87">
        <f t="shared" ref="AO197:AO249" si="60">AO196+0.2</f>
        <v>39.600000000000023</v>
      </c>
      <c r="AP197" s="126" t="str">
        <f t="shared" ref="AP197:AP249" si="61">COMPLEX(0.0001,-1*$D$22/AO197)</f>
        <v>0.0001-8.64584087391104i</v>
      </c>
      <c r="AQ197" s="105" t="str">
        <f t="shared" ref="AQ197:AQ249" si="62">COMPLEX(0.000000001,-1*$D$23/AO197)</f>
        <v>0.000000001</v>
      </c>
      <c r="AR197" s="105" t="str">
        <f t="shared" ref="AR197:AR249" si="63">COMPLEX($D$24/$D$26,$D$24*AO197)</f>
        <v>0.154991081306871+613.764681975208i</v>
      </c>
      <c r="AS197" s="93" t="str">
        <f t="shared" ref="AS197:AS249" si="64">COMPLEX(9999999999,9999999)</f>
        <v>9999999999+9999999i</v>
      </c>
      <c r="AU197" s="87" t="str">
        <f t="shared" si="59"/>
        <v>0.154991082306871+613.764681975208i</v>
      </c>
      <c r="AV197" s="87" t="str">
        <f t="shared" ref="AV197:AV249" si="65">IMPRODUCT(AU197,AS197)</f>
        <v>-4587735383.07368+6137648369048.98i</v>
      </c>
      <c r="AW197" s="87" t="str">
        <f t="shared" ref="AW197:AW249" si="66">IMSUM(AS197,AU197)</f>
        <v>9999999999.15499+10000612.764682i</v>
      </c>
      <c r="AX197" s="87" t="str">
        <f t="shared" ref="AX197:AX249" si="67">IMDIV(AV197,AW197)</f>
        <v>0.155028752956255+613.764681918509i</v>
      </c>
      <c r="AY197" s="87" t="str">
        <f t="shared" ref="AY197:AY249" si="68">IMSUM(AX197,AP197)</f>
        <v>0.155128752956255+605.118841044598i</v>
      </c>
      <c r="AZ197" s="87">
        <f t="shared" ref="AZ197:AZ249" si="69">AO197</f>
        <v>39.600000000000023</v>
      </c>
      <c r="BA197" s="87">
        <f t="shared" ref="BA197:BA249" si="70">IMABS(AY197)</f>
        <v>605.11886092906366</v>
      </c>
    </row>
    <row r="198" spans="41:53" x14ac:dyDescent="0.25">
      <c r="AO198" s="87">
        <f t="shared" si="60"/>
        <v>39.800000000000026</v>
      </c>
      <c r="AP198" s="126" t="str">
        <f t="shared" si="61"/>
        <v>0.0001-8.60239443735873i</v>
      </c>
      <c r="AQ198" s="105" t="str">
        <f t="shared" si="62"/>
        <v>0.000000001</v>
      </c>
      <c r="AR198" s="105" t="str">
        <f t="shared" si="63"/>
        <v>0.154991081306871+616.864503601346i</v>
      </c>
      <c r="AS198" s="93" t="str">
        <f t="shared" si="64"/>
        <v>9999999999+9999999i</v>
      </c>
      <c r="AU198" s="87" t="str">
        <f t="shared" si="59"/>
        <v>0.154991082306871+616.864503601346i</v>
      </c>
      <c r="AV198" s="87" t="str">
        <f t="shared" si="65"/>
        <v>-4618733596.23524+6168646585307.26i</v>
      </c>
      <c r="AW198" s="87" t="str">
        <f t="shared" si="66"/>
        <v>9999999999.15499+10000615.8645036i</v>
      </c>
      <c r="AX198" s="87" t="str">
        <f t="shared" si="67"/>
        <v>0.155029134428872+616.86450354417i</v>
      </c>
      <c r="AY198" s="87" t="str">
        <f t="shared" si="68"/>
        <v>0.155129134428872+608.262109106811i</v>
      </c>
      <c r="AZ198" s="87">
        <f t="shared" si="69"/>
        <v>39.800000000000026</v>
      </c>
      <c r="BA198" s="87">
        <f t="shared" si="70"/>
        <v>608.26212888861846</v>
      </c>
    </row>
    <row r="199" spans="41:53" x14ac:dyDescent="0.25">
      <c r="AO199" s="87">
        <f t="shared" si="60"/>
        <v>40.000000000000028</v>
      </c>
      <c r="AP199" s="126" t="str">
        <f t="shared" si="61"/>
        <v>0.0001-8.55938246517193i</v>
      </c>
      <c r="AQ199" s="105" t="str">
        <f t="shared" si="62"/>
        <v>0.000000001</v>
      </c>
      <c r="AR199" s="105" t="str">
        <f t="shared" si="63"/>
        <v>0.154991081306871+619.964325227483i</v>
      </c>
      <c r="AS199" s="93" t="str">
        <f t="shared" si="64"/>
        <v>9999999999+9999999i</v>
      </c>
      <c r="AU199" s="87" t="str">
        <f t="shared" si="59"/>
        <v>0.154991082306871+619.964325227483i</v>
      </c>
      <c r="AV199" s="87" t="str">
        <f t="shared" si="65"/>
        <v>-4649731809.39678+6199644801565.53i</v>
      </c>
      <c r="AW199" s="87" t="str">
        <f t="shared" si="66"/>
        <v>9999999999.15499+10000618.9643252i</v>
      </c>
      <c r="AX199" s="87" t="str">
        <f t="shared" si="67"/>
        <v>0.155029517823267+619.964325169827i</v>
      </c>
      <c r="AY199" s="87" t="str">
        <f t="shared" si="68"/>
        <v>0.155129517823267+611.404942704655i</v>
      </c>
      <c r="AZ199" s="87">
        <f t="shared" si="69"/>
        <v>40.000000000000028</v>
      </c>
      <c r="BA199" s="87">
        <f t="shared" si="70"/>
        <v>611.40496238487447</v>
      </c>
    </row>
    <row r="200" spans="41:53" x14ac:dyDescent="0.25">
      <c r="AO200" s="87">
        <f t="shared" si="60"/>
        <v>40.200000000000031</v>
      </c>
      <c r="AP200" s="126" t="str">
        <f t="shared" si="61"/>
        <v>0.0001-8.51679847280789i</v>
      </c>
      <c r="AQ200" s="105" t="str">
        <f t="shared" si="62"/>
        <v>0.000000001</v>
      </c>
      <c r="AR200" s="105" t="str">
        <f t="shared" si="63"/>
        <v>0.154991081306871+623.064146853621i</v>
      </c>
      <c r="AS200" s="93" t="str">
        <f t="shared" si="64"/>
        <v>9999999999+9999999i</v>
      </c>
      <c r="AU200" s="87" t="str">
        <f t="shared" si="59"/>
        <v>0.154991082306871+623.064146853621i</v>
      </c>
      <c r="AV200" s="87" t="str">
        <f t="shared" si="65"/>
        <v>-4680730022.55834+6230643017823.81i</v>
      </c>
      <c r="AW200" s="87" t="str">
        <f t="shared" si="66"/>
        <v>9999999999.15499+10000622.0641469i</v>
      </c>
      <c r="AX200" s="87" t="str">
        <f t="shared" si="67"/>
        <v>0.155029903139444+623.064146795484i</v>
      </c>
      <c r="AY200" s="87" t="str">
        <f t="shared" si="68"/>
        <v>0.155129903139444+614.547348322676i</v>
      </c>
      <c r="AZ200" s="87">
        <f t="shared" si="69"/>
        <v>40.200000000000031</v>
      </c>
      <c r="BA200" s="87">
        <f t="shared" si="70"/>
        <v>614.54736790236063</v>
      </c>
    </row>
    <row r="201" spans="41:53" x14ac:dyDescent="0.25">
      <c r="AO201" s="87">
        <f t="shared" si="60"/>
        <v>40.400000000000034</v>
      </c>
      <c r="AP201" s="126" t="str">
        <f t="shared" si="61"/>
        <v>0.0001-8.47463610413062i</v>
      </c>
      <c r="AQ201" s="105" t="str">
        <f t="shared" si="62"/>
        <v>0.000000001</v>
      </c>
      <c r="AR201" s="105" t="str">
        <f t="shared" si="63"/>
        <v>0.154991081306871+626.163968479758i</v>
      </c>
      <c r="AS201" s="93" t="str">
        <f t="shared" si="64"/>
        <v>9999999999+9999999i</v>
      </c>
      <c r="AU201" s="87" t="str">
        <f t="shared" si="59"/>
        <v>0.154991082306871+626.163968479758i</v>
      </c>
      <c r="AV201" s="87" t="str">
        <f t="shared" si="65"/>
        <v>-4711728235.71989+6261641234082.08i</v>
      </c>
      <c r="AW201" s="87" t="str">
        <f t="shared" si="66"/>
        <v>9999999999.15499+10000625.1639685i</v>
      </c>
      <c r="AX201" s="87" t="str">
        <f t="shared" si="67"/>
        <v>0.155030290377391+626.163968421137i</v>
      </c>
      <c r="AY201" s="87" t="str">
        <f t="shared" si="68"/>
        <v>0.155130290377391+617.689332317006i</v>
      </c>
      <c r="AZ201" s="87">
        <f t="shared" si="69"/>
        <v>40.400000000000034</v>
      </c>
      <c r="BA201" s="87">
        <f t="shared" si="70"/>
        <v>617.68935179719233</v>
      </c>
    </row>
    <row r="202" spans="41:53" x14ac:dyDescent="0.25">
      <c r="AO202" s="87">
        <f t="shared" si="60"/>
        <v>40.600000000000037</v>
      </c>
      <c r="AP202" s="126" t="str">
        <f t="shared" si="61"/>
        <v>0.0001-8.43288912824821i</v>
      </c>
      <c r="AQ202" s="105" t="str">
        <f t="shared" si="62"/>
        <v>0.000000001</v>
      </c>
      <c r="AR202" s="105" t="str">
        <f t="shared" si="63"/>
        <v>0.154991081306871+629.263790105896i</v>
      </c>
      <c r="AS202" s="93" t="str">
        <f t="shared" si="64"/>
        <v>9999999999+9999999i</v>
      </c>
      <c r="AU202" s="87" t="str">
        <f t="shared" si="59"/>
        <v>0.154991082306871+629.263790105896i</v>
      </c>
      <c r="AV202" s="87" t="str">
        <f t="shared" si="65"/>
        <v>-4742726448.88145+6292639450340.36i</v>
      </c>
      <c r="AW202" s="87" t="str">
        <f t="shared" si="66"/>
        <v>9999999999.15499+10000628.2637901i</v>
      </c>
      <c r="AX202" s="87" t="str">
        <f t="shared" si="67"/>
        <v>0.155030679537116+629.26379004679i</v>
      </c>
      <c r="AY202" s="87" t="str">
        <f t="shared" si="68"/>
        <v>0.155130679537116+620.830900918542i</v>
      </c>
      <c r="AZ202" s="87">
        <f t="shared" si="69"/>
        <v>40.600000000000037</v>
      </c>
      <c r="BA202" s="87">
        <f t="shared" si="70"/>
        <v>620.8309203002508</v>
      </c>
    </row>
    <row r="203" spans="41:53" x14ac:dyDescent="0.25">
      <c r="AO203" s="87">
        <f t="shared" si="60"/>
        <v>40.80000000000004</v>
      </c>
      <c r="AP203" s="126" t="str">
        <f t="shared" si="61"/>
        <v>0.0001-8.39155143644307i</v>
      </c>
      <c r="AQ203" s="105" t="str">
        <f t="shared" si="62"/>
        <v>0.000000001</v>
      </c>
      <c r="AR203" s="105" t="str">
        <f t="shared" si="63"/>
        <v>0.154991081306871+632.363611732033i</v>
      </c>
      <c r="AS203" s="93" t="str">
        <f t="shared" si="64"/>
        <v>9999999999+9999999i</v>
      </c>
      <c r="AU203" s="87" t="str">
        <f t="shared" si="59"/>
        <v>0.154991082306871+632.363611732033i</v>
      </c>
      <c r="AV203" s="87" t="str">
        <f t="shared" si="65"/>
        <v>-4773724662.043+6323637666598.63i</v>
      </c>
      <c r="AW203" s="87" t="str">
        <f t="shared" si="66"/>
        <v>9999999999.15499+10000631.3636117i</v>
      </c>
      <c r="AX203" s="87" t="str">
        <f t="shared" si="67"/>
        <v>0.155031070618617+632.36361167244i</v>
      </c>
      <c r="AY203" s="87" t="str">
        <f t="shared" si="68"/>
        <v>0.155131070618617+623.972060235997i</v>
      </c>
      <c r="AZ203" s="87">
        <f t="shared" si="69"/>
        <v>40.80000000000004</v>
      </c>
      <c r="BA203" s="87">
        <f t="shared" si="70"/>
        <v>623.9720795202328</v>
      </c>
    </row>
    <row r="204" spans="41:53" x14ac:dyDescent="0.25">
      <c r="AO204" s="87">
        <f t="shared" si="60"/>
        <v>41.000000000000043</v>
      </c>
      <c r="AP204" s="126" t="str">
        <f t="shared" si="61"/>
        <v>0.0001-8.35061703919212i</v>
      </c>
      <c r="AQ204" s="105" t="str">
        <f t="shared" si="62"/>
        <v>0.000000001</v>
      </c>
      <c r="AR204" s="105" t="str">
        <f t="shared" si="63"/>
        <v>0.154991081306871+635.463433358171i</v>
      </c>
      <c r="AS204" s="93" t="str">
        <f t="shared" si="64"/>
        <v>9999999999+9999999i</v>
      </c>
      <c r="AU204" s="87" t="str">
        <f t="shared" si="59"/>
        <v>0.154991082306871+635.463433358171i</v>
      </c>
      <c r="AV204" s="87" t="str">
        <f t="shared" si="65"/>
        <v>-4804722875.20456+6354635882856.91i</v>
      </c>
      <c r="AW204" s="87" t="str">
        <f t="shared" si="66"/>
        <v>9999999999.15499+10000634.4634334i</v>
      </c>
      <c r="AX204" s="87" t="str">
        <f t="shared" si="67"/>
        <v>0.155031463621902+635.463433298088i</v>
      </c>
      <c r="AY204" s="87" t="str">
        <f t="shared" si="68"/>
        <v>0.155131463621902+627.112816258896i</v>
      </c>
      <c r="AZ204" s="87">
        <f t="shared" si="69"/>
        <v>41.000000000000043</v>
      </c>
      <c r="BA204" s="87">
        <f t="shared" si="70"/>
        <v>627.11283544664821</v>
      </c>
    </row>
    <row r="205" spans="41:53" x14ac:dyDescent="0.25">
      <c r="AO205" s="87">
        <f t="shared" si="60"/>
        <v>41.200000000000045</v>
      </c>
      <c r="AP205" s="126" t="str">
        <f t="shared" si="61"/>
        <v>0.0001-8.31008006327372i</v>
      </c>
      <c r="AQ205" s="105" t="str">
        <f t="shared" si="62"/>
        <v>0.000000001</v>
      </c>
      <c r="AR205" s="105" t="str">
        <f t="shared" si="63"/>
        <v>0.154991081306871+638.563254984308i</v>
      </c>
      <c r="AS205" s="93" t="str">
        <f t="shared" si="64"/>
        <v>9999999999+9999999i</v>
      </c>
      <c r="AU205" s="87" t="str">
        <f t="shared" si="59"/>
        <v>0.154991082306871+638.563254984308i</v>
      </c>
      <c r="AV205" s="87" t="str">
        <f t="shared" si="65"/>
        <v>-4835721088.36611+6385634099115.18i</v>
      </c>
      <c r="AW205" s="87" t="str">
        <f t="shared" si="66"/>
        <v>9999999999.15499+10000637.563255i</v>
      </c>
      <c r="AX205" s="87" t="str">
        <f t="shared" si="67"/>
        <v>0.155031858546957+638.563254923734i</v>
      </c>
      <c r="AY205" s="87" t="str">
        <f t="shared" si="68"/>
        <v>0.155131858546957+630.25317486046i</v>
      </c>
      <c r="AZ205" s="87">
        <f t="shared" si="69"/>
        <v>41.200000000000045</v>
      </c>
      <c r="BA205" s="87">
        <f t="shared" si="70"/>
        <v>630.25319395270276</v>
      </c>
    </row>
    <row r="206" spans="41:53" x14ac:dyDescent="0.25">
      <c r="AO206" s="87">
        <f t="shared" si="60"/>
        <v>41.400000000000048</v>
      </c>
      <c r="AP206" s="126" t="str">
        <f t="shared" si="61"/>
        <v>0.0001-8.26993474895838i</v>
      </c>
      <c r="AQ206" s="105" t="str">
        <f t="shared" si="62"/>
        <v>0.000000001</v>
      </c>
      <c r="AR206" s="105" t="str">
        <f t="shared" si="63"/>
        <v>0.154991081306871+641.663076610446i</v>
      </c>
      <c r="AS206" s="93" t="str">
        <f t="shared" si="64"/>
        <v>9999999999+9999999i</v>
      </c>
      <c r="AU206" s="87" t="str">
        <f t="shared" si="59"/>
        <v>0.154991082306871+641.663076610446i</v>
      </c>
      <c r="AV206" s="87" t="str">
        <f t="shared" si="65"/>
        <v>-4866719301.52766+6416632315373.46i</v>
      </c>
      <c r="AW206" s="87" t="str">
        <f t="shared" si="66"/>
        <v>9999999999.15499+10000640.6630766i</v>
      </c>
      <c r="AX206" s="87" t="str">
        <f t="shared" si="67"/>
        <v>0.15503225539379+641.66307654938i</v>
      </c>
      <c r="AY206" s="87" t="str">
        <f t="shared" si="68"/>
        <v>0.15513225539379+633.393141800422i</v>
      </c>
      <c r="AZ206" s="87">
        <f t="shared" si="69"/>
        <v>41.400000000000048</v>
      </c>
      <c r="BA206" s="87">
        <f t="shared" si="70"/>
        <v>633.39316079811442</v>
      </c>
    </row>
    <row r="207" spans="41:53" x14ac:dyDescent="0.25">
      <c r="AO207" s="87">
        <f t="shared" si="60"/>
        <v>41.600000000000051</v>
      </c>
      <c r="AP207" s="126" t="str">
        <f t="shared" si="61"/>
        <v>0.0001-8.2301754472807i</v>
      </c>
      <c r="AQ207" s="105" t="str">
        <f t="shared" si="62"/>
        <v>0.000000001</v>
      </c>
      <c r="AR207" s="105" t="str">
        <f t="shared" si="63"/>
        <v>0.154991081306871+644.762898236583i</v>
      </c>
      <c r="AS207" s="93" t="str">
        <f t="shared" si="64"/>
        <v>9999999999+9999999i</v>
      </c>
      <c r="AU207" s="87" t="str">
        <f t="shared" si="59"/>
        <v>0.154991082306871+644.762898236583i</v>
      </c>
      <c r="AV207" s="87" t="str">
        <f t="shared" si="65"/>
        <v>-4897717514.68921+6447630531631.74i</v>
      </c>
      <c r="AW207" s="87" t="str">
        <f t="shared" si="66"/>
        <v>9999999999.15499+10000643.7628982i</v>
      </c>
      <c r="AX207" s="87" t="str">
        <f t="shared" si="67"/>
        <v>0.1550326541624+644.762898175023i</v>
      </c>
      <c r="AY207" s="87" t="str">
        <f t="shared" si="68"/>
        <v>0.1551326541624+636.532722727742i</v>
      </c>
      <c r="AZ207" s="87">
        <f t="shared" si="69"/>
        <v>41.600000000000051</v>
      </c>
      <c r="BA207" s="87">
        <f t="shared" si="70"/>
        <v>636.53274163182903</v>
      </c>
    </row>
    <row r="208" spans="41:53" x14ac:dyDescent="0.25">
      <c r="AO208" s="87">
        <f t="shared" si="60"/>
        <v>41.800000000000054</v>
      </c>
      <c r="AP208" s="126" t="str">
        <f t="shared" si="61"/>
        <v>0.0001-8.1907966173894i</v>
      </c>
      <c r="AQ208" s="105" t="str">
        <f t="shared" si="62"/>
        <v>0.000000001</v>
      </c>
      <c r="AR208" s="105" t="str">
        <f t="shared" si="63"/>
        <v>0.154991081306871+647.86271986272i</v>
      </c>
      <c r="AS208" s="93" t="str">
        <f t="shared" si="64"/>
        <v>9999999999+9999999i</v>
      </c>
      <c r="AU208" s="87" t="str">
        <f t="shared" si="59"/>
        <v>0.154991082306871+647.86271986272i</v>
      </c>
      <c r="AV208" s="87" t="str">
        <f t="shared" si="65"/>
        <v>-4928715727.85076+6478628747890.01i</v>
      </c>
      <c r="AW208" s="87" t="str">
        <f t="shared" si="66"/>
        <v>9999999999.15499+10000646.8627199i</v>
      </c>
      <c r="AX208" s="87" t="str">
        <f t="shared" si="67"/>
        <v>0.155033054852792+647.862719800663i</v>
      </c>
      <c r="AY208" s="87" t="str">
        <f t="shared" si="68"/>
        <v>0.155133054852792+639.671923183274i</v>
      </c>
      <c r="AZ208" s="87">
        <f t="shared" si="69"/>
        <v>41.800000000000054</v>
      </c>
      <c r="BA208" s="87">
        <f t="shared" si="70"/>
        <v>639.67194199468611</v>
      </c>
    </row>
    <row r="209" spans="41:53" x14ac:dyDescent="0.25">
      <c r="AO209" s="87">
        <f t="shared" si="60"/>
        <v>42.000000000000057</v>
      </c>
      <c r="AP209" s="126" t="str">
        <f t="shared" si="61"/>
        <v>0.0001-8.15179282397326i</v>
      </c>
      <c r="AQ209" s="105" t="str">
        <f t="shared" si="62"/>
        <v>0.000000001</v>
      </c>
      <c r="AR209" s="105" t="str">
        <f t="shared" si="63"/>
        <v>0.154991081306871+650.962541488858i</v>
      </c>
      <c r="AS209" s="93" t="str">
        <f t="shared" si="64"/>
        <v>9999999999+9999999i</v>
      </c>
      <c r="AU209" s="87" t="str">
        <f t="shared" si="59"/>
        <v>0.154991082306871+650.962541488858i</v>
      </c>
      <c r="AV209" s="87" t="str">
        <f t="shared" si="65"/>
        <v>-4959713941.01232+6509626964148.29i</v>
      </c>
      <c r="AW209" s="87" t="str">
        <f t="shared" si="66"/>
        <v>9999999999.15499+10000649.9625415i</v>
      </c>
      <c r="AX209" s="87" t="str">
        <f t="shared" si="67"/>
        <v>0.155033457464955+650.962541426302i</v>
      </c>
      <c r="AY209" s="87" t="str">
        <f t="shared" si="68"/>
        <v>0.155133457464955+642.810748602329i</v>
      </c>
      <c r="AZ209" s="87">
        <f t="shared" si="69"/>
        <v>42.000000000000057</v>
      </c>
      <c r="BA209" s="87">
        <f t="shared" si="70"/>
        <v>642.81076732198278</v>
      </c>
    </row>
    <row r="210" spans="41:53" x14ac:dyDescent="0.25">
      <c r="AO210" s="87">
        <f t="shared" si="60"/>
        <v>42.20000000000006</v>
      </c>
      <c r="AP210" s="126" t="str">
        <f t="shared" si="61"/>
        <v>0.0001-8.11315873476012i</v>
      </c>
      <c r="AQ210" s="105" t="str">
        <f t="shared" si="62"/>
        <v>0.000000001</v>
      </c>
      <c r="AR210" s="105" t="str">
        <f t="shared" si="63"/>
        <v>0.154991081306871+654.062363114995i</v>
      </c>
      <c r="AS210" s="93" t="str">
        <f t="shared" si="64"/>
        <v>9999999999+9999999i</v>
      </c>
      <c r="AU210" s="87" t="str">
        <f t="shared" si="59"/>
        <v>0.154991082306871+654.062363114995i</v>
      </c>
      <c r="AV210" s="87" t="str">
        <f t="shared" si="65"/>
        <v>-4990712154.17387+6540625180406.56i</v>
      </c>
      <c r="AW210" s="87" t="str">
        <f t="shared" si="66"/>
        <v>9999999999.15499+10000653.0623631i</v>
      </c>
      <c r="AX210" s="87" t="str">
        <f t="shared" si="67"/>
        <v>0.155033861998895+654.062363051938i</v>
      </c>
      <c r="AY210" s="87" t="str">
        <f t="shared" si="68"/>
        <v>0.155133861998895+645.949204317178i</v>
      </c>
      <c r="AZ210" s="87">
        <f t="shared" si="69"/>
        <v>42.20000000000006</v>
      </c>
      <c r="BA210" s="87">
        <f t="shared" si="70"/>
        <v>645.9492229459762</v>
      </c>
    </row>
    <row r="211" spans="41:53" x14ac:dyDescent="0.25">
      <c r="AO211" s="87">
        <f t="shared" si="60"/>
        <v>42.400000000000063</v>
      </c>
      <c r="AP211" s="126" t="str">
        <f t="shared" si="61"/>
        <v>0.0001-8.07488911808672i</v>
      </c>
      <c r="AQ211" s="105" t="str">
        <f t="shared" si="62"/>
        <v>0.000000001</v>
      </c>
      <c r="AR211" s="105" t="str">
        <f t="shared" si="63"/>
        <v>0.154991081306871+657.162184741133i</v>
      </c>
      <c r="AS211" s="93" t="str">
        <f t="shared" si="64"/>
        <v>9999999999+9999999i</v>
      </c>
      <c r="AU211" s="87" t="str">
        <f t="shared" si="59"/>
        <v>0.154991082306871+657.162184741133i</v>
      </c>
      <c r="AV211" s="87" t="str">
        <f t="shared" si="65"/>
        <v>-5021710367.33543+6571623396664.84i</v>
      </c>
      <c r="AW211" s="87" t="str">
        <f t="shared" si="66"/>
        <v>9999999999.15499+10000656.1621847i</v>
      </c>
      <c r="AX211" s="87" t="str">
        <f t="shared" si="67"/>
        <v>0.155034268454611+657.162184677574i</v>
      </c>
      <c r="AY211" s="87" t="str">
        <f t="shared" si="68"/>
        <v>0.155134268454611+649.087295559487i</v>
      </c>
      <c r="AZ211" s="87">
        <f t="shared" si="69"/>
        <v>42.400000000000063</v>
      </c>
      <c r="BA211" s="87">
        <f t="shared" si="70"/>
        <v>649.0873140983191</v>
      </c>
    </row>
    <row r="212" spans="41:53" x14ac:dyDescent="0.25">
      <c r="AO212" s="87">
        <f t="shared" si="60"/>
        <v>42.600000000000065</v>
      </c>
      <c r="AP212" s="126" t="str">
        <f t="shared" si="61"/>
        <v>0.0001-8.03697884053702i</v>
      </c>
      <c r="AQ212" s="105" t="str">
        <f t="shared" si="62"/>
        <v>0.000000001</v>
      </c>
      <c r="AR212" s="105" t="str">
        <f t="shared" si="63"/>
        <v>0.154991081306871+660.26200636727i</v>
      </c>
      <c r="AS212" s="93" t="str">
        <f t="shared" si="64"/>
        <v>9999999999+9999999i</v>
      </c>
      <c r="AU212" s="87" t="str">
        <f t="shared" si="59"/>
        <v>0.154991082306871+660.26200636727i</v>
      </c>
      <c r="AV212" s="87" t="str">
        <f t="shared" si="65"/>
        <v>-5052708580.49697+6602621612923.11i</v>
      </c>
      <c r="AW212" s="87" t="str">
        <f t="shared" si="66"/>
        <v>9999999999.15499+10000659.2620064i</v>
      </c>
      <c r="AX212" s="87" t="str">
        <f t="shared" si="67"/>
        <v>0.155034676832112+660.262006303206i</v>
      </c>
      <c r="AY212" s="87" t="str">
        <f t="shared" si="68"/>
        <v>0.155134676832112+652.225027462669i</v>
      </c>
      <c r="AZ212" s="87">
        <f t="shared" si="69"/>
        <v>42.600000000000065</v>
      </c>
      <c r="BA212" s="87">
        <f t="shared" si="70"/>
        <v>652.22504591241159</v>
      </c>
    </row>
    <row r="213" spans="41:53" x14ac:dyDescent="0.25">
      <c r="AO213" s="87">
        <f t="shared" si="60"/>
        <v>42.800000000000068</v>
      </c>
      <c r="AP213" s="126" t="str">
        <f t="shared" si="61"/>
        <v>0.0001-7.99942286464666i</v>
      </c>
      <c r="AQ213" s="105" t="str">
        <f t="shared" si="62"/>
        <v>0.000000001</v>
      </c>
      <c r="AR213" s="105" t="str">
        <f t="shared" si="63"/>
        <v>0.154991081306871+663.361827993408i</v>
      </c>
      <c r="AS213" s="93" t="str">
        <f t="shared" si="64"/>
        <v>9999999999+9999999i</v>
      </c>
      <c r="AU213" s="87" t="str">
        <f t="shared" si="59"/>
        <v>0.154991082306871+663.361827993408i</v>
      </c>
      <c r="AV213" s="87" t="str">
        <f t="shared" si="65"/>
        <v>-5083706793.65853+6633619829181.39i</v>
      </c>
      <c r="AW213" s="87" t="str">
        <f t="shared" si="66"/>
        <v>9999999999.15499+10000662.361828i</v>
      </c>
      <c r="AX213" s="87" t="str">
        <f t="shared" si="67"/>
        <v>0.155035087131383+663.361827928838i</v>
      </c>
      <c r="AY213" s="87" t="str">
        <f t="shared" si="68"/>
        <v>0.155135087131383+655.362405064191i</v>
      </c>
      <c r="AZ213" s="87">
        <f t="shared" si="69"/>
        <v>42.800000000000068</v>
      </c>
      <c r="BA213" s="87">
        <f t="shared" si="70"/>
        <v>655.36242342570722</v>
      </c>
    </row>
    <row r="214" spans="41:53" x14ac:dyDescent="0.25">
      <c r="AO214" s="87">
        <f t="shared" si="60"/>
        <v>43.000000000000071</v>
      </c>
      <c r="AP214" s="126" t="str">
        <f t="shared" si="61"/>
        <v>0.0001-7.96221624667156i</v>
      </c>
      <c r="AQ214" s="105" t="str">
        <f t="shared" si="62"/>
        <v>0.000000001</v>
      </c>
      <c r="AR214" s="105" t="str">
        <f t="shared" si="63"/>
        <v>0.154991081306871+666.461649619545i</v>
      </c>
      <c r="AS214" s="93" t="str">
        <f t="shared" si="64"/>
        <v>9999999999+9999999i</v>
      </c>
      <c r="AU214" s="87" t="str">
        <f t="shared" si="59"/>
        <v>0.154991082306871+666.461649619545i</v>
      </c>
      <c r="AV214" s="87" t="str">
        <f t="shared" si="65"/>
        <v>-5114705006.82008+6664618045439.66i</v>
      </c>
      <c r="AW214" s="87" t="str">
        <f t="shared" si="66"/>
        <v>9999999999.15499+10000665.4616496i</v>
      </c>
      <c r="AX214" s="87" t="str">
        <f t="shared" si="67"/>
        <v>0.15503549935243+666.461649554466i</v>
      </c>
      <c r="AY214" s="87" t="str">
        <f t="shared" si="68"/>
        <v>0.15513549935243+658.499433307794i</v>
      </c>
      <c r="AZ214" s="87">
        <f t="shared" si="69"/>
        <v>43.000000000000071</v>
      </c>
      <c r="BA214" s="87">
        <f t="shared" si="70"/>
        <v>658.49945158193486</v>
      </c>
    </row>
    <row r="215" spans="41:53" x14ac:dyDescent="0.25">
      <c r="AO215" s="87">
        <f t="shared" si="60"/>
        <v>43.200000000000074</v>
      </c>
      <c r="AP215" s="126" t="str">
        <f t="shared" si="61"/>
        <v>0.0001-7.92535413441845i</v>
      </c>
      <c r="AQ215" s="105" t="str">
        <f t="shared" si="62"/>
        <v>0.000000001</v>
      </c>
      <c r="AR215" s="105" t="str">
        <f t="shared" si="63"/>
        <v>0.154991081306871+669.561471245683i</v>
      </c>
      <c r="AS215" s="93" t="str">
        <f t="shared" si="64"/>
        <v>9999999999+9999999i</v>
      </c>
      <c r="AU215" s="87" t="str">
        <f t="shared" si="59"/>
        <v>0.154991082306871+669.561471245683i</v>
      </c>
      <c r="AV215" s="87" t="str">
        <f t="shared" si="65"/>
        <v>-5145703219.98164+6695616261697.94i</v>
      </c>
      <c r="AW215" s="87" t="str">
        <f t="shared" si="66"/>
        <v>9999999999.15499+10000668.5614712i</v>
      </c>
      <c r="AX215" s="87" t="str">
        <f t="shared" si="67"/>
        <v>0.155035913495254+669.561471180094i</v>
      </c>
      <c r="AY215" s="87" t="str">
        <f t="shared" si="68"/>
        <v>0.155135913495254+661.636117045676i</v>
      </c>
      <c r="AZ215" s="87">
        <f t="shared" si="69"/>
        <v>43.200000000000074</v>
      </c>
      <c r="BA215" s="87">
        <f t="shared" si="70"/>
        <v>661.63613523328002</v>
      </c>
    </row>
    <row r="216" spans="41:53" x14ac:dyDescent="0.25">
      <c r="AO216" s="87">
        <f t="shared" si="60"/>
        <v>43.400000000000077</v>
      </c>
      <c r="AP216" s="126" t="str">
        <f t="shared" si="61"/>
        <v>0.0001-7.88883176513541i</v>
      </c>
      <c r="AQ216" s="105" t="str">
        <f t="shared" si="62"/>
        <v>0.000000001</v>
      </c>
      <c r="AR216" s="105" t="str">
        <f t="shared" si="63"/>
        <v>0.154991081306871+672.66129287182i</v>
      </c>
      <c r="AS216" s="93" t="str">
        <f t="shared" si="64"/>
        <v>9999999999+9999999i</v>
      </c>
      <c r="AU216" s="87" t="str">
        <f t="shared" si="59"/>
        <v>0.154991082306871+672.66129287182i</v>
      </c>
      <c r="AV216" s="87" t="str">
        <f t="shared" si="65"/>
        <v>-5176701433.14319+6726614477956.21i</v>
      </c>
      <c r="AW216" s="87" t="str">
        <f t="shared" si="66"/>
        <v>9999999999.15499+10000671.6612929i</v>
      </c>
      <c r="AX216" s="87" t="str">
        <f t="shared" si="67"/>
        <v>0.155036329559861+672.661292805719i</v>
      </c>
      <c r="AY216" s="87" t="str">
        <f t="shared" si="68"/>
        <v>0.155136329559861+664.772461040584i</v>
      </c>
      <c r="AZ216" s="87">
        <f t="shared" si="69"/>
        <v>43.400000000000077</v>
      </c>
      <c r="BA216" s="87">
        <f t="shared" si="70"/>
        <v>664.77247914247732</v>
      </c>
    </row>
    <row r="217" spans="41:53" x14ac:dyDescent="0.25">
      <c r="AO217" s="87">
        <f t="shared" si="60"/>
        <v>43.60000000000008</v>
      </c>
      <c r="AP217" s="126" t="str">
        <f t="shared" si="61"/>
        <v>0.0001-7.85264446346048i</v>
      </c>
      <c r="AQ217" s="105" t="str">
        <f t="shared" si="62"/>
        <v>0.000000001</v>
      </c>
      <c r="AR217" s="105" t="str">
        <f t="shared" si="63"/>
        <v>0.154991081306871+675.761114497958i</v>
      </c>
      <c r="AS217" s="93" t="str">
        <f t="shared" si="64"/>
        <v>9999999999+9999999i</v>
      </c>
      <c r="AU217" s="87" t="str">
        <f t="shared" si="59"/>
        <v>0.154991082306871+675.761114497958i</v>
      </c>
      <c r="AV217" s="87" t="str">
        <f t="shared" si="65"/>
        <v>-5207699646.30475+6757612694214.49i</v>
      </c>
      <c r="AW217" s="87" t="str">
        <f t="shared" si="66"/>
        <v>9999999999.15499+10000674.7611145i</v>
      </c>
      <c r="AX217" s="87" t="str">
        <f t="shared" si="67"/>
        <v>0.155036747546239+675.761114431343i</v>
      </c>
      <c r="AY217" s="87" t="str">
        <f t="shared" si="68"/>
        <v>0.155136747546239+667.908469967883i</v>
      </c>
      <c r="AZ217" s="87">
        <f t="shared" si="69"/>
        <v>43.60000000000008</v>
      </c>
      <c r="BA217" s="87">
        <f t="shared" si="70"/>
        <v>667.90848798488025</v>
      </c>
    </row>
    <row r="218" spans="41:53" x14ac:dyDescent="0.25">
      <c r="AO218" s="87">
        <f t="shared" si="60"/>
        <v>43.800000000000082</v>
      </c>
      <c r="AP218" s="126" t="str">
        <f t="shared" si="61"/>
        <v>0.0001-7.81678763942641i</v>
      </c>
      <c r="AQ218" s="105" t="str">
        <f t="shared" si="62"/>
        <v>0.000000001</v>
      </c>
      <c r="AR218" s="105" t="str">
        <f t="shared" si="63"/>
        <v>0.154991081306871+678.860936124095i</v>
      </c>
      <c r="AS218" s="93" t="str">
        <f t="shared" si="64"/>
        <v>9999999999+9999999i</v>
      </c>
      <c r="AU218" s="87" t="str">
        <f t="shared" si="59"/>
        <v>0.154991082306871+678.860936124095i</v>
      </c>
      <c r="AV218" s="87" t="str">
        <f t="shared" si="65"/>
        <v>-5238697859.4663+6788610910472.76i</v>
      </c>
      <c r="AW218" s="87" t="str">
        <f t="shared" si="66"/>
        <v>9999999999.15499+10000677.8609361i</v>
      </c>
      <c r="AX218" s="87" t="str">
        <f t="shared" si="67"/>
        <v>0.155037167454394+678.860936056964i</v>
      </c>
      <c r="AY218" s="87" t="str">
        <f t="shared" si="68"/>
        <v>0.155137167454394+671.044148417538i</v>
      </c>
      <c r="AZ218" s="87">
        <f t="shared" si="69"/>
        <v>43.800000000000082</v>
      </c>
      <c r="BA218" s="87">
        <f t="shared" si="70"/>
        <v>671.04416635044197</v>
      </c>
    </row>
    <row r="219" spans="41:53" x14ac:dyDescent="0.25">
      <c r="AO219" s="87">
        <f t="shared" si="60"/>
        <v>44.000000000000085</v>
      </c>
      <c r="AP219" s="126" t="str">
        <f t="shared" si="61"/>
        <v>0.0001-7.78125678651993i</v>
      </c>
      <c r="AQ219" s="105" t="str">
        <f t="shared" si="62"/>
        <v>0.000000001</v>
      </c>
      <c r="AR219" s="105" t="str">
        <f t="shared" si="63"/>
        <v>0.154991081306871+681.960757750233i</v>
      </c>
      <c r="AS219" s="93" t="str">
        <f t="shared" si="64"/>
        <v>9999999999+9999999i</v>
      </c>
      <c r="AU219" s="87" t="str">
        <f t="shared" si="59"/>
        <v>0.154991082306871+681.960757750233i</v>
      </c>
      <c r="AV219" s="87" t="str">
        <f t="shared" si="65"/>
        <v>-5269696072.62785+6819609126731.04i</v>
      </c>
      <c r="AW219" s="87" t="str">
        <f t="shared" si="66"/>
        <v>9999999999.15499+10000680.9607578i</v>
      </c>
      <c r="AX219" s="87" t="str">
        <f t="shared" si="67"/>
        <v>0.155037589284334+681.960757682584i</v>
      </c>
      <c r="AY219" s="87" t="str">
        <f t="shared" si="68"/>
        <v>0.155137589284334+674.179500896064i</v>
      </c>
      <c r="AZ219" s="87">
        <f t="shared" si="69"/>
        <v>44.000000000000085</v>
      </c>
      <c r="BA219" s="87">
        <f t="shared" si="70"/>
        <v>674.17951874566586</v>
      </c>
    </row>
    <row r="220" spans="41:53" x14ac:dyDescent="0.25">
      <c r="AO220" s="87">
        <f t="shared" si="60"/>
        <v>44.200000000000088</v>
      </c>
      <c r="AP220" s="126" t="str">
        <f t="shared" si="61"/>
        <v>0.0001-7.74604747979359i</v>
      </c>
      <c r="AQ220" s="105" t="str">
        <f t="shared" si="62"/>
        <v>0.000000001</v>
      </c>
      <c r="AR220" s="105" t="str">
        <f t="shared" si="63"/>
        <v>0.154991081306871+685.06057937637i</v>
      </c>
      <c r="AS220" s="93" t="str">
        <f t="shared" si="64"/>
        <v>9999999999+9999999i</v>
      </c>
      <c r="AU220" s="87" t="str">
        <f t="shared" si="59"/>
        <v>0.154991082306871+685.06057937637i</v>
      </c>
      <c r="AV220" s="87" t="str">
        <f t="shared" si="65"/>
        <v>-5300694285.7894+6850607342989.31i</v>
      </c>
      <c r="AW220" s="87" t="str">
        <f t="shared" si="66"/>
        <v>9999999999.15499+10000684.0605794i</v>
      </c>
      <c r="AX220" s="87" t="str">
        <f t="shared" si="67"/>
        <v>0.155038013036042+685.060579308201i</v>
      </c>
      <c r="AY220" s="87" t="str">
        <f t="shared" si="68"/>
        <v>0.155138013036042+677.314531828407i</v>
      </c>
      <c r="AZ220" s="87">
        <f t="shared" si="69"/>
        <v>44.200000000000088</v>
      </c>
      <c r="BA220" s="87">
        <f t="shared" si="70"/>
        <v>677.31454959548682</v>
      </c>
    </row>
    <row r="221" spans="41:53" x14ac:dyDescent="0.25">
      <c r="AO221" s="87">
        <f t="shared" si="60"/>
        <v>44.400000000000091</v>
      </c>
      <c r="AP221" s="126" t="str">
        <f t="shared" si="61"/>
        <v>0.0001-7.71115537402876i</v>
      </c>
      <c r="AQ221" s="105" t="str">
        <f t="shared" si="62"/>
        <v>0.000000001</v>
      </c>
      <c r="AR221" s="105" t="str">
        <f t="shared" si="63"/>
        <v>0.154991081306871+688.160401002507i</v>
      </c>
      <c r="AS221" s="93" t="str">
        <f t="shared" si="64"/>
        <v>9999999999+9999999i</v>
      </c>
      <c r="AU221" s="87" t="str">
        <f t="shared" si="59"/>
        <v>0.154991082306871+688.160401002507i</v>
      </c>
      <c r="AV221" s="87" t="str">
        <f t="shared" si="65"/>
        <v>-5331692498.95095+6881605559247.58i</v>
      </c>
      <c r="AW221" s="87" t="str">
        <f t="shared" si="66"/>
        <v>9999999999.15499+10000687.160401i</v>
      </c>
      <c r="AX221" s="87" t="str">
        <f t="shared" si="67"/>
        <v>0.155038438709528+688.160400933816i</v>
      </c>
      <c r="AY221" s="87" t="str">
        <f t="shared" si="68"/>
        <v>0.155138438709528+680.449245559787i</v>
      </c>
      <c r="AZ221" s="87">
        <f t="shared" si="69"/>
        <v>44.400000000000091</v>
      </c>
      <c r="BA221" s="87">
        <f t="shared" si="70"/>
        <v>680.44926324511391</v>
      </c>
    </row>
    <row r="222" spans="41:53" x14ac:dyDescent="0.25">
      <c r="AO222" s="87">
        <f t="shared" si="60"/>
        <v>44.600000000000094</v>
      </c>
      <c r="AP222" s="126" t="str">
        <f t="shared" si="61"/>
        <v>0.0001-7.67657620194791i</v>
      </c>
      <c r="AQ222" s="105" t="str">
        <f t="shared" si="62"/>
        <v>0.000000001</v>
      </c>
      <c r="AR222" s="105" t="str">
        <f t="shared" si="63"/>
        <v>0.154991081306871+691.260222628645i</v>
      </c>
      <c r="AS222" s="93" t="str">
        <f t="shared" si="64"/>
        <v>9999999999+9999999i</v>
      </c>
      <c r="AU222" s="87" t="str">
        <f t="shared" si="59"/>
        <v>0.154991082306871+691.260222628645i</v>
      </c>
      <c r="AV222" s="87" t="str">
        <f t="shared" si="65"/>
        <v>-5362690712.11251+6912603775505.86i</v>
      </c>
      <c r="AW222" s="87" t="str">
        <f t="shared" si="66"/>
        <v>9999999999.15499+10000690.2602226i</v>
      </c>
      <c r="AX222" s="87" t="str">
        <f t="shared" si="67"/>
        <v>0.15503886630479+691.26022255943i</v>
      </c>
      <c r="AY222" s="87" t="str">
        <f t="shared" si="68"/>
        <v>0.15513886630479+683.583646357482i</v>
      </c>
      <c r="AZ222" s="87">
        <f t="shared" si="69"/>
        <v>44.600000000000094</v>
      </c>
      <c r="BA222" s="87">
        <f t="shared" si="70"/>
        <v>683.58366396181452</v>
      </c>
    </row>
    <row r="223" spans="41:53" x14ac:dyDescent="0.25">
      <c r="AO223" s="87">
        <f t="shared" si="60"/>
        <v>44.800000000000097</v>
      </c>
      <c r="AP223" s="126" t="str">
        <f t="shared" si="61"/>
        <v>0.0001-7.64230577247493i</v>
      </c>
      <c r="AQ223" s="105" t="str">
        <f t="shared" si="62"/>
        <v>0.000000001</v>
      </c>
      <c r="AR223" s="105" t="str">
        <f t="shared" si="63"/>
        <v>0.154991081306871+694.360044254782i</v>
      </c>
      <c r="AS223" s="93" t="str">
        <f t="shared" si="64"/>
        <v>9999999999+9999999i</v>
      </c>
      <c r="AU223" s="87" t="str">
        <f t="shared" si="59"/>
        <v>0.154991082306871+694.360044254782i</v>
      </c>
      <c r="AV223" s="87" t="str">
        <f t="shared" si="65"/>
        <v>-5393688925.27406+6943601991764.13i</v>
      </c>
      <c r="AW223" s="87" t="str">
        <f t="shared" si="66"/>
        <v>9999999999.15499+10000693.3600443i</v>
      </c>
      <c r="AX223" s="87" t="str">
        <f t="shared" si="67"/>
        <v>0.155039295821836+694.360044185042i</v>
      </c>
      <c r="AY223" s="87" t="str">
        <f t="shared" si="68"/>
        <v>0.155139295821836+686.717738412567i</v>
      </c>
      <c r="AZ223" s="87">
        <f t="shared" si="69"/>
        <v>44.800000000000097</v>
      </c>
      <c r="BA223" s="87">
        <f t="shared" si="70"/>
        <v>686.71775593665257</v>
      </c>
    </row>
    <row r="224" spans="41:53" x14ac:dyDescent="0.25">
      <c r="AO224" s="87">
        <f t="shared" si="60"/>
        <v>45.000000000000099</v>
      </c>
      <c r="AP224" s="126" t="str">
        <f t="shared" si="61"/>
        <v>0.0001-7.60833996904171i</v>
      </c>
      <c r="AQ224" s="105" t="str">
        <f t="shared" si="62"/>
        <v>0.000000001</v>
      </c>
      <c r="AR224" s="105" t="str">
        <f t="shared" si="63"/>
        <v>0.154991081306871+697.45986588092i</v>
      </c>
      <c r="AS224" s="93" t="str">
        <f t="shared" si="64"/>
        <v>9999999999+9999999i</v>
      </c>
      <c r="AU224" s="87" t="str">
        <f t="shared" si="59"/>
        <v>0.154991082306871+697.45986588092i</v>
      </c>
      <c r="AV224" s="87" t="str">
        <f t="shared" si="65"/>
        <v>-5424687138.43561+6974600208022.41i</v>
      </c>
      <c r="AW224" s="87" t="str">
        <f t="shared" si="66"/>
        <v>9999999999.15499+10000696.4598659i</v>
      </c>
      <c r="AX224" s="87" t="str">
        <f t="shared" si="67"/>
        <v>0.155039727260653+697.459865810652i</v>
      </c>
      <c r="AY224" s="87" t="str">
        <f t="shared" si="68"/>
        <v>0.155139727260653+689.85152584161i</v>
      </c>
      <c r="AZ224" s="87">
        <f t="shared" si="69"/>
        <v>45.000000000000099</v>
      </c>
      <c r="BA224" s="87">
        <f t="shared" si="70"/>
        <v>689.85154328618603</v>
      </c>
    </row>
    <row r="225" spans="41:53" x14ac:dyDescent="0.25">
      <c r="AO225" s="87">
        <f t="shared" si="60"/>
        <v>45.200000000000102</v>
      </c>
      <c r="AP225" s="126" t="str">
        <f t="shared" si="61"/>
        <v>0.0001-7.57467474793975i</v>
      </c>
      <c r="AQ225" s="105" t="str">
        <f t="shared" si="62"/>
        <v>0.000000001</v>
      </c>
      <c r="AR225" s="105" t="str">
        <f t="shared" si="63"/>
        <v>0.154991081306871+700.559687507057i</v>
      </c>
      <c r="AS225" s="93" t="str">
        <f t="shared" si="64"/>
        <v>9999999999+9999999i</v>
      </c>
      <c r="AU225" s="87" t="str">
        <f t="shared" si="59"/>
        <v>0.154991082306871+700.559687507057i</v>
      </c>
      <c r="AV225" s="87" t="str">
        <f t="shared" si="65"/>
        <v>-5455685351.59716+7005598424280.68i</v>
      </c>
      <c r="AW225" s="87" t="str">
        <f t="shared" si="66"/>
        <v>9999999999.15499+10000699.5596875i</v>
      </c>
      <c r="AX225" s="87" t="str">
        <f t="shared" si="67"/>
        <v>0.155040160621246+700.559687436259i</v>
      </c>
      <c r="AY225" s="87" t="str">
        <f t="shared" si="68"/>
        <v>0.155140160621246+692.985012688319i</v>
      </c>
      <c r="AZ225" s="87">
        <f t="shared" si="69"/>
        <v>45.200000000000102</v>
      </c>
      <c r="BA225" s="87">
        <f t="shared" si="70"/>
        <v>692.98503005411249</v>
      </c>
    </row>
    <row r="226" spans="41:53" x14ac:dyDescent="0.25">
      <c r="AO226" s="87">
        <f t="shared" si="60"/>
        <v>45.400000000000105</v>
      </c>
      <c r="AP226" s="126" t="str">
        <f t="shared" si="61"/>
        <v>0.0001-7.54130613671535i</v>
      </c>
      <c r="AQ226" s="105" t="str">
        <f t="shared" si="62"/>
        <v>0.000000001</v>
      </c>
      <c r="AR226" s="105" t="str">
        <f t="shared" si="63"/>
        <v>0.154991081306871+703.659509133195i</v>
      </c>
      <c r="AS226" s="93" t="str">
        <f t="shared" si="64"/>
        <v>9999999999+9999999i</v>
      </c>
      <c r="AU226" s="87" t="str">
        <f t="shared" si="59"/>
        <v>0.154991082306871+703.659509133195i</v>
      </c>
      <c r="AV226" s="87" t="str">
        <f t="shared" si="65"/>
        <v>-5486683564.75872+7036596640538.96i</v>
      </c>
      <c r="AW226" s="87" t="str">
        <f t="shared" si="66"/>
        <v>9999999999.15499+10000702.6595091i</v>
      </c>
      <c r="AX226" s="87" t="str">
        <f t="shared" si="67"/>
        <v>0.155040595903616+703.659509061866i</v>
      </c>
      <c r="AY226" s="87" t="str">
        <f t="shared" si="68"/>
        <v>0.155140595903616+696.118202925151i</v>
      </c>
      <c r="AZ226" s="87">
        <f t="shared" si="69"/>
        <v>45.400000000000105</v>
      </c>
      <c r="BA226" s="87">
        <f t="shared" si="70"/>
        <v>696.1182202128789</v>
      </c>
    </row>
    <row r="227" spans="41:53" x14ac:dyDescent="0.25">
      <c r="AO227" s="87">
        <f t="shared" si="60"/>
        <v>45.600000000000108</v>
      </c>
      <c r="AP227" s="126" t="str">
        <f t="shared" si="61"/>
        <v>0.0001-7.50823023260694i</v>
      </c>
      <c r="AQ227" s="105" t="str">
        <f t="shared" si="62"/>
        <v>0.000000001</v>
      </c>
      <c r="AR227" s="105" t="str">
        <f t="shared" si="63"/>
        <v>0.154991081306871+706.759330759332i</v>
      </c>
      <c r="AS227" s="93" t="str">
        <f t="shared" si="64"/>
        <v>9999999999+9999999i</v>
      </c>
      <c r="AU227" s="87" t="str">
        <f t="shared" si="59"/>
        <v>0.154991082306871+706.759330759332i</v>
      </c>
      <c r="AV227" s="87" t="str">
        <f t="shared" si="65"/>
        <v>-5517681777.92027+7067594856797.23i</v>
      </c>
      <c r="AW227" s="87" t="str">
        <f t="shared" si="66"/>
        <v>9999999999.15499+10000705.7593308i</v>
      </c>
      <c r="AX227" s="87" t="str">
        <f t="shared" si="67"/>
        <v>0.15504103310777+706.75933068747i</v>
      </c>
      <c r="AY227" s="87" t="str">
        <f t="shared" si="68"/>
        <v>0.15514103310777+699.251100454863i</v>
      </c>
      <c r="AZ227" s="87">
        <f t="shared" si="69"/>
        <v>45.600000000000108</v>
      </c>
      <c r="BA227" s="87">
        <f t="shared" si="70"/>
        <v>699.25111766523275</v>
      </c>
    </row>
    <row r="228" spans="41:53" x14ac:dyDescent="0.25">
      <c r="AO228" s="87">
        <f t="shared" si="60"/>
        <v>45.800000000000111</v>
      </c>
      <c r="AP228" s="126" t="str">
        <f t="shared" si="61"/>
        <v>0.0001-7.47544320102351i</v>
      </c>
      <c r="AQ228" s="105" t="str">
        <f t="shared" si="62"/>
        <v>0.000000001</v>
      </c>
      <c r="AR228" s="105" t="str">
        <f t="shared" si="63"/>
        <v>0.154991081306871+709.85915238547i</v>
      </c>
      <c r="AS228" s="93" t="str">
        <f t="shared" si="64"/>
        <v>9999999999+9999999i</v>
      </c>
      <c r="AU228" s="87" t="str">
        <f t="shared" si="59"/>
        <v>0.154991082306871+709.85915238547i</v>
      </c>
      <c r="AV228" s="87" t="str">
        <f t="shared" si="65"/>
        <v>-5548679991.08183+7098593073055.51i</v>
      </c>
      <c r="AW228" s="87" t="str">
        <f t="shared" si="66"/>
        <v>9999999999.15499+10000708.8591524i</v>
      </c>
      <c r="AX228" s="87" t="str">
        <f t="shared" si="67"/>
        <v>0.155041472233694+709.859152313072i</v>
      </c>
      <c r="AY228" s="87" t="str">
        <f t="shared" si="68"/>
        <v>0.155141472233694+702.383709112048i</v>
      </c>
      <c r="AZ228" s="87">
        <f t="shared" si="69"/>
        <v>45.800000000000111</v>
      </c>
      <c r="BA228" s="87">
        <f t="shared" si="70"/>
        <v>702.38372624575686</v>
      </c>
    </row>
    <row r="229" spans="41:53" x14ac:dyDescent="0.25">
      <c r="AO229" s="87">
        <f t="shared" si="60"/>
        <v>46.000000000000114</v>
      </c>
      <c r="AP229" s="126" t="str">
        <f t="shared" si="61"/>
        <v>0.0001-7.44294127406254i</v>
      </c>
      <c r="AQ229" s="105" t="str">
        <f t="shared" si="62"/>
        <v>0.000000001</v>
      </c>
      <c r="AR229" s="105" t="str">
        <f t="shared" si="63"/>
        <v>0.154991081306871+712.958974011607i</v>
      </c>
      <c r="AS229" s="93" t="str">
        <f t="shared" si="64"/>
        <v>9999999999+9999999i</v>
      </c>
      <c r="AU229" s="87" t="str">
        <f t="shared" si="59"/>
        <v>0.154991082306871+712.958974011607i</v>
      </c>
      <c r="AV229" s="87" t="str">
        <f t="shared" si="65"/>
        <v>-5579678204.24338+7129591289313.78i</v>
      </c>
      <c r="AW229" s="87" t="str">
        <f t="shared" si="66"/>
        <v>9999999999.15499+10000711.958974i</v>
      </c>
      <c r="AX229" s="87" t="str">
        <f t="shared" si="67"/>
        <v>0.155041913281394+712.958973938672i</v>
      </c>
      <c r="AY229" s="87" t="str">
        <f t="shared" si="68"/>
        <v>0.155141913281394+705.516032664609i</v>
      </c>
      <c r="AZ229" s="87">
        <f t="shared" si="69"/>
        <v>46.000000000000114</v>
      </c>
      <c r="BA229" s="87">
        <f t="shared" si="70"/>
        <v>705.51604972234543</v>
      </c>
    </row>
    <row r="230" spans="41:53" x14ac:dyDescent="0.25">
      <c r="AO230" s="87">
        <f t="shared" si="60"/>
        <v>46.200000000000117</v>
      </c>
      <c r="AP230" s="126" t="str">
        <f t="shared" si="61"/>
        <v>0.0001-7.41072074906659i</v>
      </c>
      <c r="AQ230" s="105" t="str">
        <f t="shared" si="62"/>
        <v>0.000000001</v>
      </c>
      <c r="AR230" s="105" t="str">
        <f t="shared" si="63"/>
        <v>0.154991081306871+716.058795637745i</v>
      </c>
      <c r="AS230" s="93" t="str">
        <f t="shared" si="64"/>
        <v>9999999999+9999999i</v>
      </c>
      <c r="AU230" s="87" t="str">
        <f t="shared" si="59"/>
        <v>0.154991082306871+716.058795637745i</v>
      </c>
      <c r="AV230" s="87" t="str">
        <f t="shared" si="65"/>
        <v>-5610676417.40493+7160589505572.06i</v>
      </c>
      <c r="AW230" s="87" t="str">
        <f t="shared" si="66"/>
        <v>9999999999.15499+10000715.0587956i</v>
      </c>
      <c r="AX230" s="87" t="str">
        <f t="shared" si="67"/>
        <v>0.155042356250873+716.058795564271i</v>
      </c>
      <c r="AY230" s="87" t="str">
        <f t="shared" si="68"/>
        <v>0.155142356250873+708.648074815204i</v>
      </c>
      <c r="AZ230" s="87">
        <f t="shared" si="69"/>
        <v>46.200000000000117</v>
      </c>
      <c r="BA230" s="87">
        <f t="shared" si="70"/>
        <v>708.64809179764654</v>
      </c>
    </row>
    <row r="231" spans="41:53" x14ac:dyDescent="0.25">
      <c r="AO231" s="87">
        <f t="shared" si="60"/>
        <v>46.400000000000119</v>
      </c>
      <c r="AP231" s="126" t="str">
        <f t="shared" si="61"/>
        <v>0.0001-7.37877798721717i</v>
      </c>
      <c r="AQ231" s="105" t="str">
        <f t="shared" si="62"/>
        <v>0.000000001</v>
      </c>
      <c r="AR231" s="105" t="str">
        <f t="shared" si="63"/>
        <v>0.154991081306871+719.158617263882i</v>
      </c>
      <c r="AS231" s="93" t="str">
        <f t="shared" si="64"/>
        <v>9999999999+9999999i</v>
      </c>
      <c r="AU231" s="87" t="str">
        <f t="shared" si="59"/>
        <v>0.154991082306871+719.158617263882i</v>
      </c>
      <c r="AV231" s="87" t="str">
        <f t="shared" si="65"/>
        <v>-5641674630.56648+7191587721830.33i</v>
      </c>
      <c r="AW231" s="87" t="str">
        <f t="shared" si="66"/>
        <v>9999999999.15499+10000718.1586173i</v>
      </c>
      <c r="AX231" s="87" t="str">
        <f t="shared" si="67"/>
        <v>0.155042801142134+719.158617189867i</v>
      </c>
      <c r="AY231" s="87" t="str">
        <f t="shared" si="68"/>
        <v>0.155142801142134+711.77983920265i</v>
      </c>
      <c r="AZ231" s="87">
        <f t="shared" si="69"/>
        <v>46.400000000000119</v>
      </c>
      <c r="BA231" s="87">
        <f t="shared" si="70"/>
        <v>711.77985611046836</v>
      </c>
    </row>
    <row r="232" spans="41:53" x14ac:dyDescent="0.25">
      <c r="AO232" s="87">
        <f t="shared" si="60"/>
        <v>46.600000000000122</v>
      </c>
      <c r="AP232" s="126" t="str">
        <f t="shared" si="61"/>
        <v>0.0001-7.34710941216473i</v>
      </c>
      <c r="AQ232" s="105" t="str">
        <f t="shared" si="62"/>
        <v>0.000000001</v>
      </c>
      <c r="AR232" s="105" t="str">
        <f t="shared" si="63"/>
        <v>0.154991081306871+722.25843889002i</v>
      </c>
      <c r="AS232" s="93" t="str">
        <f t="shared" si="64"/>
        <v>9999999999+9999999i</v>
      </c>
      <c r="AU232" s="87" t="str">
        <f t="shared" si="59"/>
        <v>0.154991082306871+722.25843889002i</v>
      </c>
      <c r="AV232" s="87" t="str">
        <f t="shared" si="65"/>
        <v>-5672672843.72804+7222585938088.61i</v>
      </c>
      <c r="AW232" s="87" t="str">
        <f t="shared" si="66"/>
        <v>9999999999.15499+10000721.2584389i</v>
      </c>
      <c r="AX232" s="87" t="str">
        <f t="shared" si="67"/>
        <v>0.155043247955166+722.258438815462i</v>
      </c>
      <c r="AY232" s="87" t="str">
        <f t="shared" si="68"/>
        <v>0.155143247955166+714.911329403297i</v>
      </c>
      <c r="AZ232" s="87">
        <f t="shared" si="69"/>
        <v>46.600000000000122</v>
      </c>
      <c r="BA232" s="87">
        <f t="shared" si="70"/>
        <v>714.91134623715197</v>
      </c>
    </row>
    <row r="233" spans="41:53" x14ac:dyDescent="0.25">
      <c r="AO233" s="87">
        <f t="shared" si="60"/>
        <v>46.800000000000125</v>
      </c>
      <c r="AP233" s="126" t="str">
        <f t="shared" si="61"/>
        <v>0.0001-7.31571150869394i</v>
      </c>
      <c r="AQ233" s="105" t="str">
        <f t="shared" si="62"/>
        <v>0.000000001</v>
      </c>
      <c r="AR233" s="105" t="str">
        <f t="shared" si="63"/>
        <v>0.154991081306871+725.358260516157i</v>
      </c>
      <c r="AS233" s="93" t="str">
        <f t="shared" si="64"/>
        <v>9999999999+9999999i</v>
      </c>
      <c r="AU233" s="87" t="str">
        <f t="shared" si="59"/>
        <v>0.154991082306871+725.358260516157i</v>
      </c>
      <c r="AV233" s="87" t="str">
        <f t="shared" si="65"/>
        <v>-5703671056.88959+7253584154346.88i</v>
      </c>
      <c r="AW233" s="87" t="str">
        <f t="shared" si="66"/>
        <v>9999999999.15499+10000724.3582605i</v>
      </c>
      <c r="AX233" s="87" t="str">
        <f t="shared" si="67"/>
        <v>0.155043696689974+725.358260441054i</v>
      </c>
      <c r="AY233" s="87" t="str">
        <f t="shared" si="68"/>
        <v>0.155143696689974+718.04254893236i</v>
      </c>
      <c r="AZ233" s="87">
        <f t="shared" si="69"/>
        <v>46.800000000000125</v>
      </c>
      <c r="BA233" s="87">
        <f t="shared" si="70"/>
        <v>718.04256569290317</v>
      </c>
    </row>
    <row r="234" spans="41:53" x14ac:dyDescent="0.25">
      <c r="AO234" s="87">
        <f t="shared" si="60"/>
        <v>47.000000000000128</v>
      </c>
      <c r="AP234" s="126" t="str">
        <f t="shared" si="61"/>
        <v>0.0001-7.28458082142291i</v>
      </c>
      <c r="AQ234" s="105" t="str">
        <f t="shared" si="62"/>
        <v>0.000000001</v>
      </c>
      <c r="AR234" s="105" t="str">
        <f t="shared" si="63"/>
        <v>0.154991081306871+728.458082142294i</v>
      </c>
      <c r="AS234" s="93" t="str">
        <f t="shared" si="64"/>
        <v>9999999999+9999999i</v>
      </c>
      <c r="AU234" s="87" t="str">
        <f t="shared" si="59"/>
        <v>0.154991082306871+728.458082142294i</v>
      </c>
      <c r="AV234" s="87" t="str">
        <f t="shared" si="65"/>
        <v>-5734669270.05114+7284582370605.15i</v>
      </c>
      <c r="AW234" s="87" t="str">
        <f t="shared" si="66"/>
        <v>9999999999.15499+10000727.4580821i</v>
      </c>
      <c r="AX234" s="87" t="str">
        <f t="shared" si="67"/>
        <v>0.155044147346559+728.458082066644i</v>
      </c>
      <c r="AY234" s="87" t="str">
        <f t="shared" si="68"/>
        <v>0.155144147346559+721.173501245221i</v>
      </c>
      <c r="AZ234" s="87">
        <f t="shared" si="69"/>
        <v>47.000000000000128</v>
      </c>
      <c r="BA234" s="87">
        <f t="shared" si="70"/>
        <v>721.17351793309592</v>
      </c>
    </row>
    <row r="235" spans="41:53" x14ac:dyDescent="0.25">
      <c r="AO235" s="87">
        <f t="shared" si="60"/>
        <v>47.200000000000131</v>
      </c>
      <c r="AP235" s="126" t="str">
        <f t="shared" si="61"/>
        <v>0.0001-7.25371395353552i</v>
      </c>
      <c r="AQ235" s="105" t="str">
        <f t="shared" si="62"/>
        <v>0.000000001</v>
      </c>
      <c r="AR235" s="105" t="str">
        <f t="shared" si="63"/>
        <v>0.154991081306871+731.557903768432i</v>
      </c>
      <c r="AS235" s="93" t="str">
        <f t="shared" si="64"/>
        <v>9999999999+9999999i</v>
      </c>
      <c r="AU235" s="87" t="str">
        <f t="shared" si="59"/>
        <v>0.154991082306871+731.557903768432i</v>
      </c>
      <c r="AV235" s="87" t="str">
        <f t="shared" si="65"/>
        <v>-5765667483.2127+7315580586863.43i</v>
      </c>
      <c r="AW235" s="87" t="str">
        <f t="shared" si="66"/>
        <v>9999999999.15499+10000730.5579038i</v>
      </c>
      <c r="AX235" s="87" t="str">
        <f t="shared" si="67"/>
        <v>0.155044599924928+731.557903692234i</v>
      </c>
      <c r="AY235" s="87" t="str">
        <f t="shared" si="68"/>
        <v>0.155144599924928+724.304189738698i</v>
      </c>
      <c r="AZ235" s="87">
        <f t="shared" si="69"/>
        <v>47.200000000000131</v>
      </c>
      <c r="BA235" s="87">
        <f t="shared" si="70"/>
        <v>724.30420635453902</v>
      </c>
    </row>
    <row r="236" spans="41:53" x14ac:dyDescent="0.25">
      <c r="AO236" s="87">
        <f t="shared" si="60"/>
        <v>47.400000000000134</v>
      </c>
      <c r="AP236" s="126" t="str">
        <f t="shared" si="61"/>
        <v>0.0001-7.22310756554592i</v>
      </c>
      <c r="AQ236" s="105" t="str">
        <f t="shared" si="62"/>
        <v>0.000000001</v>
      </c>
      <c r="AR236" s="105" t="str">
        <f t="shared" si="63"/>
        <v>0.154991081306871+734.657725394569i</v>
      </c>
      <c r="AS236" s="93" t="str">
        <f t="shared" si="64"/>
        <v>9999999999+9999999i</v>
      </c>
      <c r="AU236" s="87" t="str">
        <f t="shared" si="59"/>
        <v>0.154991082306871+734.657725394569i</v>
      </c>
      <c r="AV236" s="87" t="str">
        <f t="shared" si="65"/>
        <v>-5796665696.37424+7346578803121.7i</v>
      </c>
      <c r="AW236" s="87" t="str">
        <f t="shared" si="66"/>
        <v>9999999999.15499+10000733.6577254i</v>
      </c>
      <c r="AX236" s="87" t="str">
        <f t="shared" si="67"/>
        <v>0.155045054425068+734.65772531782i</v>
      </c>
      <c r="AY236" s="87" t="str">
        <f t="shared" si="68"/>
        <v>0.155145054425068+727.434617752274i</v>
      </c>
      <c r="AZ236" s="87">
        <f t="shared" si="69"/>
        <v>47.400000000000134</v>
      </c>
      <c r="BA236" s="87">
        <f t="shared" si="70"/>
        <v>727.43463429670771</v>
      </c>
    </row>
    <row r="237" spans="41:53" x14ac:dyDescent="0.25">
      <c r="AO237" s="87">
        <f t="shared" si="60"/>
        <v>47.600000000000136</v>
      </c>
      <c r="AP237" s="126" t="str">
        <f t="shared" si="61"/>
        <v>0.0001-7.19275837409404i</v>
      </c>
      <c r="AQ237" s="105" t="str">
        <f t="shared" si="62"/>
        <v>0.000000001</v>
      </c>
      <c r="AR237" s="105" t="str">
        <f t="shared" si="63"/>
        <v>0.154991081306871+737.757547020707i</v>
      </c>
      <c r="AS237" s="93" t="str">
        <f t="shared" si="64"/>
        <v>9999999999+9999999i</v>
      </c>
      <c r="AU237" s="87" t="str">
        <f t="shared" si="59"/>
        <v>0.154991082306871+737.757547020707i</v>
      </c>
      <c r="AV237" s="87" t="str">
        <f t="shared" si="65"/>
        <v>-5827663909.5358+7377577019379.98i</v>
      </c>
      <c r="AW237" s="87" t="str">
        <f t="shared" si="66"/>
        <v>9999999999.15499+10000736.757547i</v>
      </c>
      <c r="AX237" s="87" t="str">
        <f t="shared" si="67"/>
        <v>0.155045510846984+737.757546943405i</v>
      </c>
      <c r="AY237" s="87" t="str">
        <f t="shared" si="68"/>
        <v>0.155145510846984+730.564788569311i</v>
      </c>
      <c r="AZ237" s="87">
        <f t="shared" si="69"/>
        <v>47.600000000000136</v>
      </c>
      <c r="BA237" s="87">
        <f t="shared" si="70"/>
        <v>730.56480504295541</v>
      </c>
    </row>
    <row r="238" spans="41:53" x14ac:dyDescent="0.25">
      <c r="AO238" s="87">
        <f t="shared" si="60"/>
        <v>47.800000000000139</v>
      </c>
      <c r="AP238" s="126" t="str">
        <f t="shared" si="61"/>
        <v>0.0001-7.16266315077147i</v>
      </c>
      <c r="AQ238" s="105" t="str">
        <f t="shared" si="62"/>
        <v>0.000000001</v>
      </c>
      <c r="AR238" s="105" t="str">
        <f t="shared" si="63"/>
        <v>0.154991081306871+740.857368646844i</v>
      </c>
      <c r="AS238" s="93" t="str">
        <f t="shared" si="64"/>
        <v>9999999999+9999999i</v>
      </c>
      <c r="AU238" s="87" t="str">
        <f t="shared" si="59"/>
        <v>0.154991082306871+740.857368646844i</v>
      </c>
      <c r="AV238" s="87" t="str">
        <f t="shared" si="65"/>
        <v>-5858662122.69735+7408575235638.25i</v>
      </c>
      <c r="AW238" s="87" t="str">
        <f t="shared" si="66"/>
        <v>9999999999.15499+10000739.8573686i</v>
      </c>
      <c r="AX238" s="87" t="str">
        <f t="shared" si="67"/>
        <v>0.155045969190676+740.857368568988i</v>
      </c>
      <c r="AY238" s="87" t="str">
        <f t="shared" si="68"/>
        <v>0.155145969190676+733.694705418217i</v>
      </c>
      <c r="AZ238" s="87">
        <f t="shared" si="69"/>
        <v>47.800000000000139</v>
      </c>
      <c r="BA238" s="87">
        <f t="shared" si="70"/>
        <v>733.69472182168238</v>
      </c>
    </row>
    <row r="239" spans="41:53" x14ac:dyDescent="0.25">
      <c r="AO239" s="87">
        <f t="shared" si="60"/>
        <v>48.000000000000142</v>
      </c>
      <c r="AP239" s="126" t="str">
        <f t="shared" si="61"/>
        <v>0.0001-7.13281872097659i</v>
      </c>
      <c r="AQ239" s="105" t="str">
        <f t="shared" si="62"/>
        <v>0.000000001</v>
      </c>
      <c r="AR239" s="105" t="str">
        <f t="shared" si="63"/>
        <v>0.154991081306871+743.957190272982i</v>
      </c>
      <c r="AS239" s="93" t="str">
        <f t="shared" si="64"/>
        <v>9999999999+9999999i</v>
      </c>
      <c r="AU239" s="87" t="str">
        <f t="shared" si="59"/>
        <v>0.154991082306871+743.957190272982i</v>
      </c>
      <c r="AV239" s="87" t="str">
        <f t="shared" si="65"/>
        <v>-5889660335.85891+7439573451896.53i</v>
      </c>
      <c r="AW239" s="87" t="str">
        <f t="shared" si="66"/>
        <v>9999999999.15499+10000742.9571903i</v>
      </c>
      <c r="AX239" s="87" t="str">
        <f t="shared" si="67"/>
        <v>0.155046429456153+743.95719019457i</v>
      </c>
      <c r="AY239" s="87" t="str">
        <f t="shared" si="68"/>
        <v>0.155146429456153+736.824371473593i</v>
      </c>
      <c r="AZ239" s="87">
        <f t="shared" si="69"/>
        <v>48.000000000000142</v>
      </c>
      <c r="BA239" s="87">
        <f t="shared" si="70"/>
        <v>736.82438780748157</v>
      </c>
    </row>
    <row r="240" spans="41:53" x14ac:dyDescent="0.25">
      <c r="AO240" s="87">
        <f t="shared" si="60"/>
        <v>48.200000000000145</v>
      </c>
      <c r="AP240" s="126" t="str">
        <f t="shared" si="61"/>
        <v>0.0001-7.10322196279827i</v>
      </c>
      <c r="AQ240" s="105" t="str">
        <f t="shared" si="62"/>
        <v>0.000000001</v>
      </c>
      <c r="AR240" s="105" t="str">
        <f t="shared" si="63"/>
        <v>0.154991081306871+747.057011899119i</v>
      </c>
      <c r="AS240" s="93" t="str">
        <f t="shared" si="64"/>
        <v>9999999999+9999999i</v>
      </c>
      <c r="AU240" s="87" t="str">
        <f t="shared" si="59"/>
        <v>0.154991082306871+747.057011899119i</v>
      </c>
      <c r="AV240" s="87" t="str">
        <f t="shared" si="65"/>
        <v>-5920658549.02046+7470571668154.8i</v>
      </c>
      <c r="AW240" s="87" t="str">
        <f t="shared" si="66"/>
        <v>9999999999.15499+10000746.0570119i</v>
      </c>
      <c r="AX240" s="87" t="str">
        <f t="shared" si="67"/>
        <v>0.1550468916434+747.057011820148i</v>
      </c>
      <c r="AY240" s="87" t="str">
        <f t="shared" si="68"/>
        <v>0.1551468916434+739.95378985735i</v>
      </c>
      <c r="AZ240" s="87">
        <f t="shared" si="69"/>
        <v>48.200000000000145</v>
      </c>
      <c r="BA240" s="87">
        <f t="shared" si="70"/>
        <v>739.95380612225597</v>
      </c>
    </row>
    <row r="241" spans="41:53" x14ac:dyDescent="0.25">
      <c r="AO241" s="87">
        <f t="shared" si="60"/>
        <v>48.400000000000148</v>
      </c>
      <c r="AP241" s="126" t="str">
        <f t="shared" si="61"/>
        <v>0.0001-7.0738698059272i</v>
      </c>
      <c r="AQ241" s="105" t="str">
        <f t="shared" si="62"/>
        <v>0.000000001</v>
      </c>
      <c r="AR241" s="105" t="str">
        <f t="shared" si="63"/>
        <v>0.154991081306871+750.156833525257i</v>
      </c>
      <c r="AS241" s="93" t="str">
        <f t="shared" si="64"/>
        <v>9999999999+9999999i</v>
      </c>
      <c r="AU241" s="87" t="str">
        <f t="shared" si="59"/>
        <v>0.154991082306871+750.156833525257i</v>
      </c>
      <c r="AV241" s="87" t="str">
        <f t="shared" si="65"/>
        <v>-5951656762.18202+7501569884413.08i</v>
      </c>
      <c r="AW241" s="87" t="str">
        <f t="shared" si="66"/>
        <v>9999999999.15499+10000749.1568335i</v>
      </c>
      <c r="AX241" s="87" t="str">
        <f t="shared" si="67"/>
        <v>0.155047355752423+750.156833445726i</v>
      </c>
      <c r="AY241" s="87" t="str">
        <f t="shared" si="68"/>
        <v>0.155147355752423+743.082963639799i</v>
      </c>
      <c r="AZ241" s="87">
        <f t="shared" si="69"/>
        <v>48.400000000000148</v>
      </c>
      <c r="BA241" s="87">
        <f t="shared" si="70"/>
        <v>743.08297983630928</v>
      </c>
    </row>
    <row r="242" spans="41:53" x14ac:dyDescent="0.25">
      <c r="AO242" s="87">
        <f t="shared" si="60"/>
        <v>48.600000000000151</v>
      </c>
      <c r="AP242" s="126" t="str">
        <f t="shared" si="61"/>
        <v>0.0001-7.04475923059417i</v>
      </c>
      <c r="AQ242" s="105" t="str">
        <f t="shared" si="62"/>
        <v>0.000000001</v>
      </c>
      <c r="AR242" s="105" t="str">
        <f t="shared" si="63"/>
        <v>0.154991081306871+753.256655151394i</v>
      </c>
      <c r="AS242" s="93" t="str">
        <f t="shared" si="64"/>
        <v>9999999999+9999999i</v>
      </c>
      <c r="AU242" s="87" t="str">
        <f t="shared" si="59"/>
        <v>0.154991082306871+753.256655151394i</v>
      </c>
      <c r="AV242" s="87" t="str">
        <f t="shared" si="65"/>
        <v>-5982654975.34357+7532568100671.35i</v>
      </c>
      <c r="AW242" s="87" t="str">
        <f t="shared" si="66"/>
        <v>9999999999.15499+10000752.2566552i</v>
      </c>
      <c r="AX242" s="87" t="str">
        <f t="shared" si="67"/>
        <v>0.15504782178323+753.256655071301i</v>
      </c>
      <c r="AY242" s="87" t="str">
        <f t="shared" si="68"/>
        <v>0.15514782178323+746.211895840707i</v>
      </c>
      <c r="AZ242" s="87">
        <f t="shared" si="69"/>
        <v>48.600000000000151</v>
      </c>
      <c r="BA242" s="87">
        <f t="shared" si="70"/>
        <v>746.21191196940083</v>
      </c>
    </row>
    <row r="243" spans="41:53" x14ac:dyDescent="0.25">
      <c r="AO243" s="87">
        <f t="shared" si="60"/>
        <v>48.800000000000153</v>
      </c>
      <c r="AP243" s="126" t="str">
        <f t="shared" si="61"/>
        <v>0.0001-7.01588726653435i</v>
      </c>
      <c r="AQ243" s="105" t="str">
        <f t="shared" si="62"/>
        <v>0.000000001</v>
      </c>
      <c r="AR243" s="105" t="str">
        <f t="shared" si="63"/>
        <v>0.154991081306871+756.356476777531i</v>
      </c>
      <c r="AS243" s="93" t="str">
        <f t="shared" si="64"/>
        <v>9999999999+9999999i</v>
      </c>
      <c r="AU243" s="87" t="str">
        <f t="shared" si="59"/>
        <v>0.154991082306871+756.356476777531i</v>
      </c>
      <c r="AV243" s="87" t="str">
        <f t="shared" si="65"/>
        <v>-6013653188.50511+7563566316929.62i</v>
      </c>
      <c r="AW243" s="87" t="str">
        <f t="shared" si="66"/>
        <v>9999999999.15499+10000755.3564768i</v>
      </c>
      <c r="AX243" s="87" t="str">
        <f t="shared" si="67"/>
        <v>0.155048289735809+756.356476696874i</v>
      </c>
      <c r="AY243" s="87" t="str">
        <f t="shared" si="68"/>
        <v>0.155148289735809+749.34058943034i</v>
      </c>
      <c r="AZ243" s="87">
        <f t="shared" si="69"/>
        <v>48.800000000000153</v>
      </c>
      <c r="BA243" s="87">
        <f t="shared" si="70"/>
        <v>749.34060549178912</v>
      </c>
    </row>
    <row r="244" spans="41:53" x14ac:dyDescent="0.25">
      <c r="AO244" s="87">
        <f t="shared" si="60"/>
        <v>49.000000000000156</v>
      </c>
      <c r="AP244" s="126" t="str">
        <f t="shared" si="61"/>
        <v>0.0001-6.98725099197707i</v>
      </c>
      <c r="AQ244" s="105" t="str">
        <f t="shared" si="62"/>
        <v>0.000000001</v>
      </c>
      <c r="AR244" s="105" t="str">
        <f t="shared" si="63"/>
        <v>0.154991081306871+759.456298403669i</v>
      </c>
      <c r="AS244" s="93" t="str">
        <f t="shared" si="64"/>
        <v>9999999999+9999999i</v>
      </c>
      <c r="AU244" s="87" t="str">
        <f t="shared" si="59"/>
        <v>0.154991082306871+759.456298403669i</v>
      </c>
      <c r="AV244" s="87" t="str">
        <f t="shared" si="65"/>
        <v>-6044651401.66667+7594564533187.9i</v>
      </c>
      <c r="AW244" s="87" t="str">
        <f t="shared" si="66"/>
        <v>9999999999.15499+10000758.4562984i</v>
      </c>
      <c r="AX244" s="87" t="str">
        <f t="shared" si="67"/>
        <v>0.155048759610163+759.456298322445i</v>
      </c>
      <c r="AY244" s="87" t="str">
        <f t="shared" si="68"/>
        <v>0.155148759610163+752.469047330468i</v>
      </c>
      <c r="AZ244" s="87">
        <f t="shared" si="69"/>
        <v>49.000000000000156</v>
      </c>
      <c r="BA244" s="87">
        <f t="shared" si="70"/>
        <v>752.46906332523702</v>
      </c>
    </row>
    <row r="245" spans="41:53" x14ac:dyDescent="0.25">
      <c r="AO245" s="87">
        <f t="shared" si="60"/>
        <v>49.200000000000159</v>
      </c>
      <c r="AP245" s="126" t="str">
        <f t="shared" si="61"/>
        <v>0.0001-6.95884753266009i</v>
      </c>
      <c r="AQ245" s="105" t="str">
        <f t="shared" si="62"/>
        <v>0.000000001</v>
      </c>
      <c r="AR245" s="105" t="str">
        <f t="shared" si="63"/>
        <v>0.154991081306871+762.556120029806i</v>
      </c>
      <c r="AS245" s="93" t="str">
        <f t="shared" si="64"/>
        <v>9999999999+9999999i</v>
      </c>
      <c r="AU245" s="87" t="str">
        <f t="shared" si="59"/>
        <v>0.154991082306871+762.556120029806i</v>
      </c>
      <c r="AV245" s="87" t="str">
        <f t="shared" si="65"/>
        <v>-6075649614.82822+7625562749446.17i</v>
      </c>
      <c r="AW245" s="87" t="str">
        <f t="shared" si="66"/>
        <v>9999999999.15499+10000761.55612i</v>
      </c>
      <c r="AX245" s="87" t="str">
        <f t="shared" si="67"/>
        <v>0.155049231406293+762.556119948015i</v>
      </c>
      <c r="AY245" s="87" t="str">
        <f t="shared" si="68"/>
        <v>0.155149231406293+755.597272415355i</v>
      </c>
      <c r="AZ245" s="87">
        <f t="shared" si="69"/>
        <v>49.200000000000159</v>
      </c>
      <c r="BA245" s="87">
        <f t="shared" si="70"/>
        <v>755.59728834400141</v>
      </c>
    </row>
    <row r="246" spans="41:53" x14ac:dyDescent="0.25">
      <c r="AO246" s="87">
        <f t="shared" si="60"/>
        <v>49.400000000000162</v>
      </c>
      <c r="AP246" s="126" t="str">
        <f t="shared" si="61"/>
        <v>0.0001-6.93067406086794i</v>
      </c>
      <c r="AQ246" s="105" t="str">
        <f t="shared" si="62"/>
        <v>0.000000001</v>
      </c>
      <c r="AR246" s="105" t="str">
        <f t="shared" si="63"/>
        <v>0.154991081306871+765.655941655944i</v>
      </c>
      <c r="AS246" s="93" t="str">
        <f t="shared" si="64"/>
        <v>9999999999+9999999i</v>
      </c>
      <c r="AU246" s="87" t="str">
        <f t="shared" si="59"/>
        <v>0.154991082306871+765.655941655944i</v>
      </c>
      <c r="AV246" s="87" t="str">
        <f t="shared" si="65"/>
        <v>-6106647827.98978+7656560965704.45i</v>
      </c>
      <c r="AW246" s="87" t="str">
        <f t="shared" si="66"/>
        <v>9999999999.15499+10000764.6559417i</v>
      </c>
      <c r="AX246" s="87" t="str">
        <f t="shared" si="67"/>
        <v>0.155049705124209+765.655941573583i</v>
      </c>
      <c r="AY246" s="87" t="str">
        <f t="shared" si="68"/>
        <v>0.155149705124209+758.725267512715i</v>
      </c>
      <c r="AZ246" s="87">
        <f t="shared" si="69"/>
        <v>49.400000000000162</v>
      </c>
      <c r="BA246" s="87">
        <f t="shared" si="70"/>
        <v>758.72528337578945</v>
      </c>
    </row>
    <row r="247" spans="41:53" x14ac:dyDescent="0.25">
      <c r="AO247" s="87">
        <f t="shared" si="60"/>
        <v>49.600000000000165</v>
      </c>
      <c r="AP247" s="126" t="str">
        <f t="shared" si="61"/>
        <v>0.0001-6.90272779449348i</v>
      </c>
      <c r="AQ247" s="105" t="str">
        <f t="shared" si="62"/>
        <v>0.000000001</v>
      </c>
      <c r="AR247" s="105" t="str">
        <f t="shared" si="63"/>
        <v>0.154991081306871+768.755763282081i</v>
      </c>
      <c r="AS247" s="93" t="str">
        <f t="shared" si="64"/>
        <v>9999999999+9999999i</v>
      </c>
      <c r="AU247" s="87" t="str">
        <f t="shared" si="59"/>
        <v>0.154991082306871+768.755763282081i</v>
      </c>
      <c r="AV247" s="87" t="str">
        <f t="shared" si="65"/>
        <v>-6137646041.15133+7687559181962.72i</v>
      </c>
      <c r="AW247" s="87" t="str">
        <f t="shared" si="66"/>
        <v>9999999999.15499+10000767.7557633i</v>
      </c>
      <c r="AX247" s="87" t="str">
        <f t="shared" si="67"/>
        <v>0.155050180763893+768.755763199148i</v>
      </c>
      <c r="AY247" s="87" t="str">
        <f t="shared" si="68"/>
        <v>0.155150180763893+761.853035404655i</v>
      </c>
      <c r="AZ247" s="87">
        <f t="shared" si="69"/>
        <v>49.600000000000165</v>
      </c>
      <c r="BA247" s="87">
        <f t="shared" si="70"/>
        <v>761.85305120270095</v>
      </c>
    </row>
    <row r="248" spans="41:53" x14ac:dyDescent="0.25">
      <c r="AO248" s="87">
        <f t="shared" si="60"/>
        <v>49.800000000000168</v>
      </c>
      <c r="AP248" s="126" t="str">
        <f t="shared" si="61"/>
        <v>0.0001-6.87500599612201i</v>
      </c>
      <c r="AQ248" s="105" t="str">
        <f t="shared" si="62"/>
        <v>0.000000001</v>
      </c>
      <c r="AR248" s="105" t="str">
        <f t="shared" si="63"/>
        <v>0.154991081306871+771.855584908219i</v>
      </c>
      <c r="AS248" s="93" t="str">
        <f t="shared" si="64"/>
        <v>9999999999+9999999i</v>
      </c>
      <c r="AU248" s="87" t="str">
        <f t="shared" si="59"/>
        <v>0.154991082306871+771.855584908219i</v>
      </c>
      <c r="AV248" s="87" t="str">
        <f t="shared" si="65"/>
        <v>-6168644254.31289+7718557398221i</v>
      </c>
      <c r="AW248" s="87" t="str">
        <f t="shared" si="66"/>
        <v>9999999999.15499+10000770.8555849i</v>
      </c>
      <c r="AX248" s="87" t="str">
        <f t="shared" si="67"/>
        <v>0.155050658325355+771.855584824712i</v>
      </c>
      <c r="AY248" s="87" t="str">
        <f t="shared" si="68"/>
        <v>0.155150658325355+764.98057882859i</v>
      </c>
      <c r="AZ248" s="87">
        <f t="shared" si="69"/>
        <v>49.800000000000168</v>
      </c>
      <c r="BA248" s="87">
        <f t="shared" si="70"/>
        <v>764.98059456214401</v>
      </c>
    </row>
    <row r="249" spans="41:53" x14ac:dyDescent="0.25">
      <c r="AO249" s="87">
        <f t="shared" si="60"/>
        <v>50.000000000000171</v>
      </c>
      <c r="AP249" s="126" t="str">
        <f t="shared" si="61"/>
        <v>0.0001-6.84750597213753i</v>
      </c>
      <c r="AQ249" s="105" t="str">
        <f t="shared" si="62"/>
        <v>0.000000001</v>
      </c>
      <c r="AR249" s="105" t="str">
        <f t="shared" si="63"/>
        <v>0.154991081306871+774.955406534356i</v>
      </c>
      <c r="AS249" s="93" t="str">
        <f t="shared" si="64"/>
        <v>9999999999+9999999i</v>
      </c>
      <c r="AU249" s="87" t="str">
        <f t="shared" si="59"/>
        <v>0.154991082306871+774.955406534356i</v>
      </c>
      <c r="AV249" s="87" t="str">
        <f t="shared" si="65"/>
        <v>-6199642467.47443+7749555614479.27i</v>
      </c>
      <c r="AW249" s="87" t="str">
        <f t="shared" si="66"/>
        <v>9999999999.15499+10000773.9554065i</v>
      </c>
      <c r="AX249" s="87" t="str">
        <f t="shared" si="67"/>
        <v>0.155051137808594+774.955406450273i</v>
      </c>
      <c r="AY249" s="87" t="str">
        <f t="shared" si="68"/>
        <v>0.155151137808594+768.107900478135i</v>
      </c>
      <c r="AZ249" s="87">
        <f t="shared" si="69"/>
        <v>50.000000000000171</v>
      </c>
      <c r="BA249" s="87">
        <f t="shared" si="70"/>
        <v>768.10791614772722</v>
      </c>
    </row>
    <row r="250" spans="41:53" x14ac:dyDescent="0.25">
      <c r="AP250" s="126"/>
      <c r="AQ250" s="105"/>
      <c r="AR250" s="105"/>
      <c r="AS250" s="93"/>
    </row>
    <row r="251" spans="41:53" x14ac:dyDescent="0.25">
      <c r="AP251" s="126"/>
      <c r="AQ251" s="105"/>
      <c r="AR251" s="105"/>
      <c r="AS251" s="93"/>
    </row>
    <row r="252" spans="41:53" x14ac:dyDescent="0.25">
      <c r="AP252" s="126"/>
      <c r="AQ252" s="105"/>
      <c r="AR252" s="105"/>
      <c r="AS252" s="93"/>
    </row>
    <row r="253" spans="41:53" x14ac:dyDescent="0.25">
      <c r="AP253" s="126"/>
      <c r="AQ253" s="105"/>
      <c r="AR253" s="105"/>
      <c r="AS253" s="93"/>
    </row>
    <row r="254" spans="41:53" x14ac:dyDescent="0.25">
      <c r="AP254" s="126"/>
      <c r="AQ254" s="105"/>
      <c r="AR254" s="105"/>
      <c r="AS254" s="93"/>
    </row>
    <row r="255" spans="41:53" x14ac:dyDescent="0.25">
      <c r="AP255" s="126"/>
      <c r="AQ255" s="105"/>
      <c r="AR255" s="105"/>
      <c r="AS255" s="93"/>
    </row>
    <row r="256" spans="41:53" x14ac:dyDescent="0.25">
      <c r="AP256" s="126"/>
      <c r="AQ256" s="105"/>
      <c r="AR256" s="105"/>
      <c r="AS256" s="93"/>
    </row>
    <row r="257" spans="42:45" x14ac:dyDescent="0.25">
      <c r="AP257" s="126"/>
      <c r="AQ257" s="105"/>
      <c r="AR257" s="105"/>
      <c r="AS257" s="93"/>
    </row>
    <row r="258" spans="42:45" x14ac:dyDescent="0.25">
      <c r="AP258" s="126"/>
      <c r="AQ258" s="105"/>
      <c r="AR258" s="105"/>
      <c r="AS258" s="93"/>
    </row>
    <row r="259" spans="42:45" x14ac:dyDescent="0.25">
      <c r="AP259" s="126"/>
      <c r="AQ259" s="105"/>
      <c r="AR259" s="105"/>
      <c r="AS259" s="93"/>
    </row>
    <row r="260" spans="42:45" x14ac:dyDescent="0.25">
      <c r="AP260" s="126"/>
      <c r="AQ260" s="105"/>
      <c r="AR260" s="105"/>
      <c r="AS260" s="93"/>
    </row>
    <row r="261" spans="42:45" x14ac:dyDescent="0.25">
      <c r="AP261" s="126"/>
      <c r="AQ261" s="105"/>
      <c r="AR261" s="105"/>
      <c r="AS261" s="93"/>
    </row>
    <row r="262" spans="42:45" x14ac:dyDescent="0.25">
      <c r="AP262" s="126"/>
      <c r="AQ262" s="105"/>
      <c r="AR262" s="105"/>
      <c r="AS262" s="93"/>
    </row>
    <row r="263" spans="42:45" x14ac:dyDescent="0.25">
      <c r="AP263" s="126"/>
      <c r="AQ263" s="105"/>
      <c r="AR263" s="105"/>
      <c r="AS263" s="93"/>
    </row>
    <row r="264" spans="42:45" x14ac:dyDescent="0.25">
      <c r="AP264" s="126"/>
      <c r="AQ264" s="105"/>
      <c r="AR264" s="105"/>
      <c r="AS264" s="93"/>
    </row>
    <row r="265" spans="42:45" x14ac:dyDescent="0.25">
      <c r="AP265" s="126"/>
      <c r="AQ265" s="105"/>
      <c r="AR265" s="105"/>
      <c r="AS265" s="93"/>
    </row>
    <row r="266" spans="42:45" x14ac:dyDescent="0.25">
      <c r="AP266" s="126"/>
      <c r="AQ266" s="105"/>
      <c r="AR266" s="105"/>
      <c r="AS266" s="93"/>
    </row>
    <row r="267" spans="42:45" x14ac:dyDescent="0.25">
      <c r="AP267" s="126"/>
      <c r="AQ267" s="105"/>
      <c r="AR267" s="105"/>
      <c r="AS267" s="93"/>
    </row>
    <row r="268" spans="42:45" x14ac:dyDescent="0.25">
      <c r="AP268" s="126"/>
      <c r="AQ268" s="105"/>
      <c r="AR268" s="105"/>
      <c r="AS268" s="93"/>
    </row>
    <row r="269" spans="42:45" x14ac:dyDescent="0.25">
      <c r="AP269" s="126"/>
      <c r="AQ269" s="105"/>
      <c r="AR269" s="105"/>
      <c r="AS269" s="93"/>
    </row>
    <row r="270" spans="42:45" x14ac:dyDescent="0.25">
      <c r="AP270" s="126"/>
      <c r="AQ270" s="105"/>
      <c r="AR270" s="105"/>
      <c r="AS270" s="93"/>
    </row>
    <row r="271" spans="42:45" x14ac:dyDescent="0.25">
      <c r="AP271" s="126"/>
      <c r="AQ271" s="105"/>
      <c r="AR271" s="105"/>
      <c r="AS271" s="93"/>
    </row>
  </sheetData>
  <sheetProtection algorithmName="SHA-512" hashValue="xhdL3yORs8ba8rK/J9nr8xVppYHGrsMZQRAzCzU7ciHTZpxVA00Lbs3j0bWsl1rxyvPpjRjViPD99EzYiI7vKg==" saltValue="43cozgzEnw5+KQ2I95zVSw==" spinCount="100000" sheet="1" objects="1" scenarios="1"/>
  <mergeCells count="38">
    <mergeCell ref="W50:AD50"/>
    <mergeCell ref="Y34:Z34"/>
    <mergeCell ref="W29:AD29"/>
    <mergeCell ref="Y30:Z30"/>
    <mergeCell ref="AB30:AC30"/>
    <mergeCell ref="Y31:Z31"/>
    <mergeCell ref="AB31:AC31"/>
    <mergeCell ref="B166:L166"/>
    <mergeCell ref="J46:K46"/>
    <mergeCell ref="D70:K70"/>
    <mergeCell ref="D76:K76"/>
    <mergeCell ref="H88:L89"/>
    <mergeCell ref="H90:I90"/>
    <mergeCell ref="K90:L90"/>
    <mergeCell ref="J45:K45"/>
    <mergeCell ref="Y13:Z13"/>
    <mergeCell ref="AB13:AC13"/>
    <mergeCell ref="Y14:Z14"/>
    <mergeCell ref="AB14:AC14"/>
    <mergeCell ref="Y15:Z15"/>
    <mergeCell ref="AB15:AC15"/>
    <mergeCell ref="B28:L28"/>
    <mergeCell ref="D42:I42"/>
    <mergeCell ref="D43:E43"/>
    <mergeCell ref="I43:K43"/>
    <mergeCell ref="J44:K44"/>
    <mergeCell ref="Y32:Z32"/>
    <mergeCell ref="AB32:AC32"/>
    <mergeCell ref="Y33:Z33"/>
    <mergeCell ref="AB33:AC33"/>
    <mergeCell ref="N1:P2"/>
    <mergeCell ref="N3:P3"/>
    <mergeCell ref="Y12:Z12"/>
    <mergeCell ref="G4:L4"/>
    <mergeCell ref="B6:L6"/>
    <mergeCell ref="I8:L8"/>
    <mergeCell ref="I9:L9"/>
    <mergeCell ref="W10:AD10"/>
  </mergeCells>
  <conditionalFormatting sqref="D45">
    <cfRule type="cellIs" dxfId="75" priority="11" operator="greaterThan">
      <formula>$F$45</formula>
    </cfRule>
    <cfRule type="cellIs" dxfId="74" priority="17" operator="greaterThan">
      <formula>"e44"</formula>
    </cfRule>
  </conditionalFormatting>
  <conditionalFormatting sqref="D46">
    <cfRule type="cellIs" dxfId="73" priority="10" operator="greaterThan">
      <formula>$F$46</formula>
    </cfRule>
    <cfRule type="cellIs" dxfId="72" priority="16" operator="greaterThan">
      <formula>"e45"</formula>
    </cfRule>
  </conditionalFormatting>
  <conditionalFormatting sqref="I45">
    <cfRule type="cellIs" dxfId="71" priority="15" operator="greaterThan">
      <formula>"i44"</formula>
    </cfRule>
  </conditionalFormatting>
  <conditionalFormatting sqref="I46">
    <cfRule type="cellIs" dxfId="70" priority="14" operator="greaterThan">
      <formula>"i45"</formula>
    </cfRule>
  </conditionalFormatting>
  <conditionalFormatting sqref="E45">
    <cfRule type="cellIs" dxfId="69" priority="13" operator="greaterThan">
      <formula>$F$45</formula>
    </cfRule>
  </conditionalFormatting>
  <conditionalFormatting sqref="E46">
    <cfRule type="cellIs" dxfId="68" priority="12" operator="greaterThan">
      <formula>$F$46</formula>
    </cfRule>
  </conditionalFormatting>
  <conditionalFormatting sqref="I45:K45">
    <cfRule type="cellIs" dxfId="67" priority="1" operator="greaterThan">
      <formula>$L$45</formula>
    </cfRule>
    <cfRule type="cellIs" dxfId="66" priority="5" operator="lessThan">
      <formula>"119.1%$L$45"</formula>
    </cfRule>
    <cfRule type="cellIs" dxfId="65" priority="9" operator="greaterThan">
      <formula>$L$45</formula>
    </cfRule>
  </conditionalFormatting>
  <conditionalFormatting sqref="I46:K46">
    <cfRule type="cellIs" dxfId="64" priority="4" operator="lessThan">
      <formula>$L$46</formula>
    </cfRule>
    <cfRule type="cellIs" dxfId="63" priority="8" operator="greaterThan">
      <formula>$L$46</formula>
    </cfRule>
  </conditionalFormatting>
  <conditionalFormatting sqref="D45:E45">
    <cfRule type="cellIs" dxfId="62" priority="3" operator="greaterThan">
      <formula>$F$45</formula>
    </cfRule>
    <cfRule type="cellIs" dxfId="61" priority="7" operator="lessThan">
      <formula>"90.4%$F$45"</formula>
    </cfRule>
  </conditionalFormatting>
  <conditionalFormatting sqref="D46:E46">
    <cfRule type="cellIs" dxfId="60" priority="2" operator="greaterThan">
      <formula>$F$46</formula>
    </cfRule>
    <cfRule type="cellIs" dxfId="59" priority="6" operator="lessThan">
      <formula>"104.9%$F$46"</formula>
    </cfRule>
  </conditionalFormatting>
  <dataValidations disablePrompts="1" count="1">
    <dataValidation type="list" allowBlank="1" showInputMessage="1" showErrorMessage="1" sqref="D42" xr:uid="{2FFE7D87-5F2A-4F0D-8696-E589BE7457B0}">
      <formula1>capacitordutyrating</formula1>
    </dataValidation>
  </dataValidations>
  <hyperlinks>
    <hyperlink ref="N1:P2" r:id="rId1" display="https://youtu.be/sV6w9_-4ZJw" xr:uid="{0FFF6A8A-506C-4C41-B5FF-78AB2C142A61}"/>
  </hyperlinks>
  <pageMargins left="0.7" right="0.7" top="0.205416666666667" bottom="0.45333333333333298" header="0.3" footer="0.3"/>
  <pageSetup scale="55" fitToHeight="2" orientation="portrait" r:id="rId2"/>
  <headerFooter>
    <oddHeader xml:space="preserve">&amp;L
&amp;R       </oddHeader>
  </headerFooter>
  <rowBreaks count="2" manualBreakCount="2">
    <brk id="59" min="1" max="11" man="1"/>
    <brk id="135" min="1" max="11" man="1"/>
  </rowBreak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5" name="Scroll Bar 1">
              <controlPr locked="0" defaultSize="0" autoPict="0" altText="slide to adjust Qeff">
                <anchor moveWithCells="1">
                  <from>
                    <xdr:col>5</xdr:col>
                    <xdr:colOff>28575</xdr:colOff>
                    <xdr:row>9</xdr:row>
                    <xdr:rowOff>38100</xdr:rowOff>
                  </from>
                  <to>
                    <xdr:col>11</xdr:col>
                    <xdr:colOff>1819275</xdr:colOff>
                    <xdr:row>9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BR271"/>
  <sheetViews>
    <sheetView tabSelected="1" zoomScale="85" zoomScaleNormal="85" workbookViewId="0">
      <selection activeCell="B1" sqref="B1"/>
    </sheetView>
  </sheetViews>
  <sheetFormatPr defaultRowHeight="15" x14ac:dyDescent="0.25"/>
  <cols>
    <col min="1" max="1" width="2.42578125" customWidth="1"/>
    <col min="2" max="2" width="43.85546875" customWidth="1"/>
    <col min="3" max="3" width="1.5703125" customWidth="1"/>
    <col min="4" max="4" width="10.5703125" customWidth="1"/>
    <col min="5" max="5" width="12.42578125" customWidth="1"/>
    <col min="6" max="6" width="11" bestFit="1" customWidth="1"/>
    <col min="7" max="7" width="9.28515625" bestFit="1" customWidth="1"/>
    <col min="8" max="8" width="10.28515625" customWidth="1"/>
    <col min="9" max="9" width="10.85546875" customWidth="1"/>
    <col min="10" max="10" width="9.140625" customWidth="1"/>
    <col min="11" max="11" width="15.85546875" customWidth="1"/>
    <col min="12" max="12" width="27.7109375" customWidth="1"/>
    <col min="14" max="14" width="24.5703125" customWidth="1"/>
    <col min="15" max="15" width="45.42578125" customWidth="1"/>
    <col min="16" max="16" width="58.7109375" customWidth="1"/>
    <col min="19" max="19" width="35" customWidth="1"/>
    <col min="20" max="20" width="16" bestFit="1" customWidth="1"/>
    <col min="21" max="21" width="9.28515625" bestFit="1" customWidth="1"/>
    <col min="25" max="25" width="9.7109375" customWidth="1"/>
    <col min="26" max="26" width="9.140625" customWidth="1"/>
    <col min="30" max="30" width="15.7109375" customWidth="1"/>
    <col min="41" max="41" width="9.140625" style="87"/>
    <col min="42" max="42" width="24.7109375" style="87" customWidth="1"/>
    <col min="43" max="43" width="27.7109375" style="90" customWidth="1"/>
    <col min="44" max="44" width="38.7109375" style="90" customWidth="1"/>
    <col min="45" max="45" width="30.28515625" style="90" customWidth="1"/>
    <col min="46" max="46" width="3.7109375" style="87" customWidth="1"/>
    <col min="47" max="47" width="38.140625" style="87" customWidth="1"/>
    <col min="48" max="48" width="42.7109375" style="87" customWidth="1"/>
    <col min="49" max="49" width="44.140625" style="87" customWidth="1"/>
    <col min="50" max="50" width="39" style="87" customWidth="1"/>
    <col min="51" max="51" width="41.85546875" style="87" customWidth="1"/>
    <col min="52" max="53" width="9.140625" style="87"/>
  </cols>
  <sheetData>
    <row r="1" spans="2:60" ht="28.5" customHeight="1" x14ac:dyDescent="0.25">
      <c r="B1" s="267" t="s">
        <v>348</v>
      </c>
      <c r="N1" s="281" t="s">
        <v>346</v>
      </c>
      <c r="O1" s="315"/>
      <c r="P1" s="315"/>
      <c r="AP1" s="87" t="s">
        <v>177</v>
      </c>
      <c r="AS1" s="90" t="s">
        <v>180</v>
      </c>
      <c r="AU1" s="90" t="s">
        <v>179</v>
      </c>
      <c r="AV1" s="87" t="s">
        <v>181</v>
      </c>
      <c r="AW1" s="90" t="s">
        <v>182</v>
      </c>
      <c r="AX1" s="87" t="s">
        <v>183</v>
      </c>
      <c r="AY1" s="90" t="s">
        <v>184</v>
      </c>
      <c r="BE1" t="s">
        <v>268</v>
      </c>
    </row>
    <row r="2" spans="2:60" x14ac:dyDescent="0.25">
      <c r="N2" s="315"/>
      <c r="O2" s="315"/>
      <c r="P2" s="315"/>
      <c r="AO2" s="90" t="s">
        <v>172</v>
      </c>
      <c r="AP2" s="90" t="s">
        <v>173</v>
      </c>
      <c r="AQ2" s="90" t="s">
        <v>174</v>
      </c>
      <c r="AR2" s="90" t="s">
        <v>175</v>
      </c>
      <c r="AS2" s="90" t="s">
        <v>176</v>
      </c>
      <c r="AU2" s="90" t="s">
        <v>178</v>
      </c>
      <c r="AV2" s="90" t="s">
        <v>0</v>
      </c>
      <c r="BE2" t="s">
        <v>269</v>
      </c>
    </row>
    <row r="3" spans="2:60" ht="36" x14ac:dyDescent="0.55000000000000004">
      <c r="B3" s="42" t="s">
        <v>45</v>
      </c>
      <c r="C3" s="43"/>
      <c r="D3" s="43"/>
      <c r="E3" s="43"/>
      <c r="F3" s="43"/>
      <c r="G3" s="43"/>
      <c r="H3" s="43"/>
      <c r="I3" s="43"/>
      <c r="J3" s="43"/>
      <c r="K3" s="43"/>
      <c r="L3" s="43"/>
      <c r="N3" s="282" t="s">
        <v>347</v>
      </c>
      <c r="O3" s="283"/>
      <c r="P3" s="283"/>
      <c r="AO3" s="87">
        <v>1</v>
      </c>
      <c r="AP3" s="126" t="str">
        <f>COMPLEX(0.0001,-1*$D$22/AO3)</f>
        <v>0.0001-11.0913488372093i</v>
      </c>
      <c r="AQ3" s="105" t="str">
        <f>COMPLEX(0.000000001,-1*$D$23/AO3)</f>
        <v>0.000000001</v>
      </c>
      <c r="AR3" s="105" t="str">
        <f>COMPLEX($D$24/$D$26,$D$24*AO3)</f>
        <v>0.000192558139534884+0.0192558139534884i</v>
      </c>
      <c r="AS3" s="93" t="str">
        <f t="shared" ref="AS3:AS42" si="0">COMPLEX($D$17,0.0001)</f>
        <v>2.30607627906977+0.0001i</v>
      </c>
      <c r="AU3" s="87" t="str">
        <f t="shared" ref="AU3:AU67" si="1">IMSUM(AR3,AQ3)</f>
        <v>0.000192559139534884+0.0192558139534884i</v>
      </c>
      <c r="AV3" s="87" t="str">
        <f>IMPRODUCT(AU3,AS3)</f>
        <v>0.000442130482604133+0.0444053950482342i</v>
      </c>
      <c r="AW3" s="87" t="str">
        <f>IMSUM(AS3,AU3)</f>
        <v>2.3062688382093+0.0193558139534884i</v>
      </c>
      <c r="AX3" s="87" t="str">
        <f>IMDIV(AV3,AW3)</f>
        <v>0.000353278019832645+0.0192512496067378i</v>
      </c>
      <c r="AY3" s="87" t="str">
        <f>IMSUM(AX3,AP3)</f>
        <v>0.000453278019832645-11.0720975876026i</v>
      </c>
      <c r="AZ3" s="87">
        <f>AO3</f>
        <v>1</v>
      </c>
      <c r="BA3" s="87">
        <f>IMABS(AY3)</f>
        <v>11.072097596880921</v>
      </c>
      <c r="BE3" t="s">
        <v>270</v>
      </c>
    </row>
    <row r="4" spans="2:60" ht="20.25" customHeight="1" x14ac:dyDescent="0.4">
      <c r="B4" s="175" t="s">
        <v>46</v>
      </c>
      <c r="C4" s="44"/>
      <c r="D4" s="44"/>
      <c r="E4" s="44"/>
      <c r="F4" s="44"/>
      <c r="G4" s="285" t="s">
        <v>47</v>
      </c>
      <c r="H4" s="285"/>
      <c r="I4" s="285"/>
      <c r="J4" s="285"/>
      <c r="K4" s="285"/>
      <c r="L4" s="285"/>
      <c r="AO4" s="87">
        <f>AO3+0.2</f>
        <v>1.2</v>
      </c>
      <c r="AP4" s="126" t="str">
        <f t="shared" ref="AP4:AP68" si="2">COMPLEX(0.0001,-1*$D$22/AO4)</f>
        <v>0.0001-9.24279069767442i</v>
      </c>
      <c r="AQ4" s="105" t="str">
        <f t="shared" ref="AQ4:AQ68" si="3">COMPLEX(0.000000001,-1*$D$23/AO4)</f>
        <v>0.000000001</v>
      </c>
      <c r="AR4" s="105" t="str">
        <f t="shared" ref="AR4:AR68" si="4">COMPLEX($D$24/$D$26,$D$24*AO4)</f>
        <v>0.000192558139534884+0.0231069767441861i</v>
      </c>
      <c r="AS4" s="93" t="str">
        <f t="shared" si="0"/>
        <v>2.30607627906977+0.0001i</v>
      </c>
      <c r="AU4" s="87" t="str">
        <f t="shared" si="1"/>
        <v>0.000192559139534884+0.0231069767441861i</v>
      </c>
      <c r="AV4" s="87" t="str">
        <f t="shared" ref="AV4:AV68" si="5">IMPRODUCT(AU4,AS4)</f>
        <v>0.000441745366325063+0.0532864702066983i</v>
      </c>
      <c r="AW4" s="87" t="str">
        <f t="shared" ref="AW4:AW68" si="6">IMSUM(AS4,AU4)</f>
        <v>2.3062688382093+0.0232069767441861i</v>
      </c>
      <c r="AX4" s="87" t="str">
        <f t="shared" ref="AX4:AX68" si="7">IMDIV(AV4,AW4)</f>
        <v>0.000423994302393779+0.0231007893347549i</v>
      </c>
      <c r="AY4" s="87" t="str">
        <f t="shared" ref="AY4:AY68" si="8">IMSUM(AX4,AP4)</f>
        <v>0.000523994302393779-9.21968990833967i</v>
      </c>
      <c r="AZ4" s="87">
        <f t="shared" ref="AZ4:AZ68" si="9">AO4</f>
        <v>1.2</v>
      </c>
      <c r="BA4" s="87">
        <f t="shared" ref="BA4:BA68" si="10">IMABS(AY4)</f>
        <v>9.2196899232300851</v>
      </c>
    </row>
    <row r="5" spans="2:60" x14ac:dyDescent="0.25">
      <c r="AO5" s="87">
        <f t="shared" ref="AO5:AO69" si="11">AO4+0.2</f>
        <v>1.4</v>
      </c>
      <c r="AP5" s="126" t="str">
        <f t="shared" si="2"/>
        <v>0.0001-7.92239202657808i</v>
      </c>
      <c r="AQ5" s="105" t="str">
        <f t="shared" si="3"/>
        <v>0.000000001</v>
      </c>
      <c r="AR5" s="105" t="str">
        <f t="shared" si="4"/>
        <v>0.000192558139534884+0.0269581395348837i</v>
      </c>
      <c r="AS5" s="93" t="str">
        <f t="shared" si="0"/>
        <v>2.30607627906977+0.0001i</v>
      </c>
      <c r="AU5" s="87" t="str">
        <f t="shared" si="1"/>
        <v>0.000192559139534884+0.0269581395348837i</v>
      </c>
      <c r="AV5" s="87" t="str">
        <f t="shared" si="5"/>
        <v>0.000441360250045994+0.0621675453651622i</v>
      </c>
      <c r="AW5" s="87" t="str">
        <f t="shared" si="6"/>
        <v>2.3062688382093+0.0270581395348837i</v>
      </c>
      <c r="AX5" s="87" t="str">
        <f t="shared" si="7"/>
        <v>0.000507562485600121+0.0269499421051292i</v>
      </c>
      <c r="AY5" s="87" t="str">
        <f t="shared" si="8"/>
        <v>0.000607562485600121-7.89544208447295i</v>
      </c>
      <c r="AZ5" s="87">
        <f t="shared" si="9"/>
        <v>1.4</v>
      </c>
      <c r="BA5" s="87">
        <f t="shared" si="10"/>
        <v>7.8954421078492318</v>
      </c>
    </row>
    <row r="6" spans="2:60" ht="21" x14ac:dyDescent="0.35">
      <c r="B6" s="286" t="s">
        <v>123</v>
      </c>
      <c r="C6" s="286"/>
      <c r="D6" s="286"/>
      <c r="E6" s="286"/>
      <c r="F6" s="286"/>
      <c r="G6" s="286"/>
      <c r="H6" s="286"/>
      <c r="I6" s="286"/>
      <c r="J6" s="286"/>
      <c r="K6" s="286"/>
      <c r="L6" s="286"/>
      <c r="N6" s="62" t="s">
        <v>143</v>
      </c>
      <c r="O6" s="62"/>
      <c r="P6" s="62"/>
      <c r="Q6" s="279"/>
      <c r="AO6" s="87">
        <f t="shared" si="11"/>
        <v>1.5999999999999999</v>
      </c>
      <c r="AP6" s="126" t="str">
        <f t="shared" si="2"/>
        <v>0.0001-6.93209302325582i</v>
      </c>
      <c r="AQ6" s="105" t="str">
        <f t="shared" si="3"/>
        <v>0.000000001</v>
      </c>
      <c r="AR6" s="105" t="str">
        <f t="shared" si="4"/>
        <v>0.000192558139534884+0.0308093023255814i</v>
      </c>
      <c r="AS6" s="93" t="str">
        <f t="shared" si="0"/>
        <v>2.30607627906977+0.0001i</v>
      </c>
      <c r="AU6" s="87" t="str">
        <f t="shared" si="1"/>
        <v>0.000192559139534884+0.0308093023255814i</v>
      </c>
      <c r="AV6" s="87" t="str">
        <f t="shared" si="5"/>
        <v>0.000440975133766924+0.0710486205236263i</v>
      </c>
      <c r="AW6" s="87" t="str">
        <f t="shared" si="6"/>
        <v>2.3062688382093+0.0309093023255814i</v>
      </c>
      <c r="AX6" s="87" t="str">
        <f t="shared" si="7"/>
        <v>0.000603979768572232+0.0307986435724953i</v>
      </c>
      <c r="AY6" s="87" t="str">
        <f t="shared" si="8"/>
        <v>0.000703979768572232-6.90129437968332i</v>
      </c>
      <c r="AZ6" s="87">
        <f t="shared" si="9"/>
        <v>1.5999999999999999</v>
      </c>
      <c r="BA6" s="87">
        <f t="shared" si="10"/>
        <v>6.9012944155887235</v>
      </c>
    </row>
    <row r="7" spans="2:60" x14ac:dyDescent="0.25">
      <c r="AO7" s="87">
        <f t="shared" si="11"/>
        <v>1.7999999999999998</v>
      </c>
      <c r="AP7" s="126" t="str">
        <f t="shared" si="2"/>
        <v>0.0001-6.16186046511628i</v>
      </c>
      <c r="AQ7" s="105" t="str">
        <f t="shared" si="3"/>
        <v>0.000000001</v>
      </c>
      <c r="AR7" s="105" t="str">
        <f t="shared" si="4"/>
        <v>0.000192558139534884+0.0346604651162791i</v>
      </c>
      <c r="AS7" s="93" t="str">
        <f t="shared" si="0"/>
        <v>2.30607627906977+0.0001i</v>
      </c>
      <c r="AU7" s="87" t="str">
        <f t="shared" si="1"/>
        <v>0.000192559139534884+0.0346604651162791i</v>
      </c>
      <c r="AV7" s="87" t="str">
        <f t="shared" si="5"/>
        <v>0.000440590017487854+0.0799296956820904i</v>
      </c>
      <c r="AW7" s="87" t="str">
        <f t="shared" si="6"/>
        <v>2.3062688382093+0.0347604651162791i</v>
      </c>
      <c r="AX7" s="87" t="str">
        <f t="shared" si="7"/>
        <v>0.000713242921017318+0.0346468294166681i</v>
      </c>
      <c r="AY7" s="87" t="str">
        <f t="shared" si="8"/>
        <v>0.000813242921017318-6.12721363569961i</v>
      </c>
      <c r="AZ7" s="87">
        <f t="shared" si="9"/>
        <v>1.7999999999999998</v>
      </c>
      <c r="BA7" s="87">
        <f t="shared" si="10"/>
        <v>6.1272136896690057</v>
      </c>
    </row>
    <row r="8" spans="2:60" ht="18" x14ac:dyDescent="0.35">
      <c r="B8" s="65" t="s">
        <v>103</v>
      </c>
      <c r="D8" s="98">
        <v>6.9</v>
      </c>
      <c r="E8" t="s">
        <v>1</v>
      </c>
      <c r="H8" s="173" t="s">
        <v>169</v>
      </c>
      <c r="I8" s="287" t="s">
        <v>273</v>
      </c>
      <c r="J8" s="288"/>
      <c r="K8" s="288"/>
      <c r="L8" s="289"/>
      <c r="N8" t="s">
        <v>144</v>
      </c>
      <c r="O8" s="98">
        <v>13.3</v>
      </c>
      <c r="P8" s="87" t="s">
        <v>166</v>
      </c>
      <c r="AO8" s="87">
        <f t="shared" si="11"/>
        <v>1.9999999999999998</v>
      </c>
      <c r="AP8" s="126" t="str">
        <f t="shared" si="2"/>
        <v>0.0001-5.54567441860465i</v>
      </c>
      <c r="AQ8" s="105" t="str">
        <f t="shared" si="3"/>
        <v>0.000000001</v>
      </c>
      <c r="AR8" s="105" t="str">
        <f t="shared" si="4"/>
        <v>0.000192558139534884+0.0385116279069767i</v>
      </c>
      <c r="AS8" s="93" t="str">
        <f t="shared" si="0"/>
        <v>2.30607627906977+0.0001i</v>
      </c>
      <c r="AU8" s="87" t="str">
        <f t="shared" si="1"/>
        <v>0.000192559139534884+0.0385116279069767i</v>
      </c>
      <c r="AV8" s="87" t="str">
        <f t="shared" si="5"/>
        <v>0.000440204901208784+0.0888107708405543i</v>
      </c>
      <c r="AW8" s="87" t="str">
        <f t="shared" si="6"/>
        <v>2.3062688382093+0.0386116279069767i</v>
      </c>
      <c r="AX8" s="87" t="str">
        <f t="shared" si="7"/>
        <v>0.000835348283499428+0.038494435346224i</v>
      </c>
      <c r="AY8" s="87" t="str">
        <f t="shared" si="8"/>
        <v>0.000935348283499428-5.50717998325843i</v>
      </c>
      <c r="AZ8" s="87">
        <f t="shared" si="9"/>
        <v>1.9999999999999998</v>
      </c>
      <c r="BA8" s="87">
        <f t="shared" si="10"/>
        <v>5.5071800626889562</v>
      </c>
      <c r="BF8" s="91" t="s">
        <v>109</v>
      </c>
      <c r="BH8" s="176">
        <v>499</v>
      </c>
    </row>
    <row r="9" spans="2:60" ht="18" x14ac:dyDescent="0.35">
      <c r="B9" s="65" t="s">
        <v>104</v>
      </c>
      <c r="D9" s="148">
        <v>4300</v>
      </c>
      <c r="E9" t="s">
        <v>11</v>
      </c>
      <c r="H9" s="173" t="s">
        <v>170</v>
      </c>
      <c r="I9" s="290" t="s">
        <v>274</v>
      </c>
      <c r="J9" s="291"/>
      <c r="K9" s="291"/>
      <c r="L9" s="292"/>
      <c r="N9" t="s">
        <v>145</v>
      </c>
      <c r="O9" s="107">
        <v>23.95</v>
      </c>
      <c r="P9" s="87" t="s">
        <v>9</v>
      </c>
      <c r="AO9" s="87">
        <f t="shared" si="11"/>
        <v>2.1999999999999997</v>
      </c>
      <c r="AP9" s="126" t="str">
        <f t="shared" si="2"/>
        <v>0.0001-5.0415221987315i</v>
      </c>
      <c r="AQ9" s="105" t="str">
        <f t="shared" si="3"/>
        <v>0.000000001</v>
      </c>
      <c r="AR9" s="105" t="str">
        <f t="shared" si="4"/>
        <v>0.000192558139534884+0.0423627906976744i</v>
      </c>
      <c r="AS9" s="93" t="str">
        <f t="shared" si="0"/>
        <v>2.30607627906977+0.0001i</v>
      </c>
      <c r="AU9" s="87" t="str">
        <f t="shared" si="1"/>
        <v>0.000192559139534884+0.0423627906976744i</v>
      </c>
      <c r="AV9" s="87" t="str">
        <f t="shared" si="5"/>
        <v>0.000439819784929715+0.0976918459990184i</v>
      </c>
      <c r="AW9" s="87" t="str">
        <f t="shared" si="6"/>
        <v>2.3062688382093+0.0424627906976744i</v>
      </c>
      <c r="AX9" s="87" t="str">
        <f t="shared" si="7"/>
        <v>0.000970291767745467+0.0423413971020784i</v>
      </c>
      <c r="AY9" s="87" t="str">
        <f t="shared" si="8"/>
        <v>0.00107029176774547-4.99918080162942i</v>
      </c>
      <c r="AZ9" s="87">
        <f t="shared" si="9"/>
        <v>2.1999999999999997</v>
      </c>
      <c r="BA9" s="87">
        <f t="shared" si="10"/>
        <v>4.9991809162006362</v>
      </c>
    </row>
    <row r="10" spans="2:60" ht="19.5" x14ac:dyDescent="0.35">
      <c r="B10" s="65" t="s">
        <v>105</v>
      </c>
      <c r="D10" s="107">
        <v>24</v>
      </c>
      <c r="E10" s="68" t="s">
        <v>84</v>
      </c>
      <c r="N10" s="9" t="s">
        <v>146</v>
      </c>
      <c r="O10" s="2">
        <f>2*3.1415*D11*O9/1000</f>
        <v>9.028671000000001</v>
      </c>
      <c r="P10" s="87" t="s">
        <v>3</v>
      </c>
      <c r="V10" s="293" t="s">
        <v>322</v>
      </c>
      <c r="W10" s="293"/>
      <c r="X10" s="293"/>
      <c r="Y10" s="293"/>
      <c r="Z10" s="293"/>
      <c r="AA10" s="293"/>
      <c r="AB10" s="293"/>
      <c r="AC10" s="293"/>
      <c r="AO10" s="87">
        <f t="shared" si="11"/>
        <v>2.4</v>
      </c>
      <c r="AP10" s="126" t="str">
        <f t="shared" si="2"/>
        <v>0.0001-4.62139534883721i</v>
      </c>
      <c r="AQ10" s="105" t="str">
        <f t="shared" si="3"/>
        <v>0.000000001</v>
      </c>
      <c r="AR10" s="105" t="str">
        <f t="shared" si="4"/>
        <v>0.000192558139534884+0.0462139534883721i</v>
      </c>
      <c r="AS10" s="93" t="str">
        <f t="shared" si="0"/>
        <v>2.30607627906977+0.0001i</v>
      </c>
      <c r="AU10" s="87" t="str">
        <f t="shared" si="1"/>
        <v>0.000192559139534884+0.0462139534883721i</v>
      </c>
      <c r="AV10" s="87" t="str">
        <f t="shared" si="5"/>
        <v>0.000439434668650645+0.106572921157483i</v>
      </c>
      <c r="AW10" s="87" t="str">
        <f t="shared" si="6"/>
        <v>2.3062688382093+0.0463139534883721i</v>
      </c>
      <c r="AX10" s="87" t="str">
        <f t="shared" si="7"/>
        <v>0.00111806885698696+0.046187650461059i</v>
      </c>
      <c r="AY10" s="87" t="str">
        <f t="shared" si="8"/>
        <v>0.00121806885698696-4.57520769837615i</v>
      </c>
      <c r="AZ10" s="87">
        <f t="shared" si="9"/>
        <v>2.4</v>
      </c>
      <c r="BA10" s="87">
        <f t="shared" si="10"/>
        <v>4.575207860520889</v>
      </c>
    </row>
    <row r="11" spans="2:60" ht="18.75" x14ac:dyDescent="0.35">
      <c r="B11" s="65" t="s">
        <v>106</v>
      </c>
      <c r="D11" s="98">
        <v>60</v>
      </c>
      <c r="E11" t="s">
        <v>8</v>
      </c>
      <c r="N11" s="9" t="s">
        <v>147</v>
      </c>
      <c r="O11" s="2">
        <f>1/(2*3.1415*D11*(O8/(1000*1000)))</f>
        <v>199.44816681206436</v>
      </c>
      <c r="P11" s="87" t="s">
        <v>3</v>
      </c>
      <c r="V11" s="87"/>
      <c r="W11" s="87"/>
      <c r="X11" s="87"/>
      <c r="Y11" s="87"/>
      <c r="Z11" s="87"/>
      <c r="AA11" s="87"/>
      <c r="AB11" s="87"/>
      <c r="AC11" s="87"/>
      <c r="AO11" s="87">
        <f t="shared" si="11"/>
        <v>2.6</v>
      </c>
      <c r="AP11" s="126" t="str">
        <f t="shared" si="2"/>
        <v>0.0001-4.26590339892666i</v>
      </c>
      <c r="AQ11" s="105" t="str">
        <f t="shared" si="3"/>
        <v>0.000000001</v>
      </c>
      <c r="AR11" s="105" t="str">
        <f t="shared" si="4"/>
        <v>0.000192558139534884+0.0500651162790698i</v>
      </c>
      <c r="AS11" s="93" t="str">
        <f t="shared" si="0"/>
        <v>2.30607627906977+0.0001i</v>
      </c>
      <c r="AU11" s="87" t="str">
        <f t="shared" si="1"/>
        <v>0.000192559139534884+0.0500651162790698i</v>
      </c>
      <c r="AV11" s="87" t="str">
        <f t="shared" si="5"/>
        <v>0.000439049552371575+0.115453996315947i</v>
      </c>
      <c r="AW11" s="87" t="str">
        <f t="shared" si="6"/>
        <v>2.3062688382093+0.0501651162790698i</v>
      </c>
      <c r="AX11" s="87" t="str">
        <f t="shared" si="7"/>
        <v>0.00127867460633753+0.0500331312394748i</v>
      </c>
      <c r="AY11" s="87" t="str">
        <f t="shared" si="8"/>
        <v>0.00137867460633753-4.21587026768719i</v>
      </c>
      <c r="AZ11" s="87">
        <f t="shared" si="9"/>
        <v>2.6</v>
      </c>
      <c r="BA11" s="87">
        <f t="shared" si="10"/>
        <v>4.2158704931143856</v>
      </c>
    </row>
    <row r="12" spans="2:60" ht="18" x14ac:dyDescent="0.35">
      <c r="B12" s="65" t="s">
        <v>107</v>
      </c>
      <c r="C12" s="63"/>
      <c r="D12" s="138">
        <f>D10*D11</f>
        <v>1440</v>
      </c>
      <c r="E12" s="63" t="s">
        <v>83</v>
      </c>
      <c r="K12" t="s">
        <v>0</v>
      </c>
      <c r="N12" s="9" t="s">
        <v>168</v>
      </c>
      <c r="O12" s="135">
        <f>SQRT(O11/O10)</f>
        <v>4.7000568448319955</v>
      </c>
      <c r="V12" s="87"/>
      <c r="W12" s="51" t="s">
        <v>323</v>
      </c>
      <c r="X12" s="295">
        <f>D17</f>
        <v>2.3060762790697678</v>
      </c>
      <c r="Y12" s="284"/>
      <c r="Z12" s="90" t="s">
        <v>3</v>
      </c>
      <c r="AA12" s="90"/>
      <c r="AB12" s="90"/>
      <c r="AC12" s="87"/>
      <c r="AO12" s="87">
        <f t="shared" si="11"/>
        <v>2.8000000000000003</v>
      </c>
      <c r="AP12" s="126" t="str">
        <f t="shared" si="2"/>
        <v>0.0001-3.96119601328904i</v>
      </c>
      <c r="AQ12" s="105" t="str">
        <f t="shared" si="3"/>
        <v>0.000000001</v>
      </c>
      <c r="AR12" s="105" t="str">
        <f t="shared" si="4"/>
        <v>0.000192558139534884+0.0539162790697675i</v>
      </c>
      <c r="AS12" s="93" t="str">
        <f t="shared" si="0"/>
        <v>2.30607627906977+0.0001i</v>
      </c>
      <c r="AU12" s="87" t="str">
        <f t="shared" si="1"/>
        <v>0.000192559139534884+0.0539162790697675i</v>
      </c>
      <c r="AV12" s="87" t="str">
        <f t="shared" si="5"/>
        <v>0.000438664436092505+0.124335071474411i</v>
      </c>
      <c r="AW12" s="87" t="str">
        <f t="shared" si="6"/>
        <v>2.3062688382093+0.0540162790697675i</v>
      </c>
      <c r="AX12" s="87" t="str">
        <f t="shared" si="7"/>
        <v>0.00145210364320606+0.0538777752966824i</v>
      </c>
      <c r="AY12" s="87" t="str">
        <f t="shared" si="8"/>
        <v>0.00155210364320606-3.90731823799236i</v>
      </c>
      <c r="AZ12" s="87">
        <f t="shared" si="9"/>
        <v>2.8000000000000003</v>
      </c>
      <c r="BA12" s="87">
        <f t="shared" si="10"/>
        <v>3.9073185462633373</v>
      </c>
    </row>
    <row r="13" spans="2:60" ht="18" x14ac:dyDescent="0.35">
      <c r="B13" s="65" t="s">
        <v>108</v>
      </c>
      <c r="D13" s="139">
        <f>D8*D8/(D9*0.001)</f>
        <v>11.072093023255816</v>
      </c>
      <c r="E13" t="s">
        <v>3</v>
      </c>
      <c r="N13" s="66"/>
      <c r="O13" s="67"/>
      <c r="P13" s="87" t="s">
        <v>0</v>
      </c>
      <c r="V13" s="87"/>
      <c r="W13" s="51" t="s">
        <v>324</v>
      </c>
      <c r="X13" s="284">
        <f>AA13/100</f>
        <v>1.9255813953488376E-4</v>
      </c>
      <c r="Y13" s="284"/>
      <c r="Z13" s="273" t="s">
        <v>325</v>
      </c>
      <c r="AA13" s="316">
        <f>D24</f>
        <v>1.9255813953488375E-2</v>
      </c>
      <c r="AB13" s="316"/>
      <c r="AC13" s="87" t="s">
        <v>326</v>
      </c>
      <c r="AO13" s="87">
        <f t="shared" si="11"/>
        <v>3.0000000000000004</v>
      </c>
      <c r="AP13" s="126" t="str">
        <f t="shared" si="2"/>
        <v>0.0001-3.69711627906977i</v>
      </c>
      <c r="AQ13" s="105" t="str">
        <f t="shared" si="3"/>
        <v>0.000000001</v>
      </c>
      <c r="AR13" s="105" t="str">
        <f t="shared" si="4"/>
        <v>0.000192558139534884+0.0577674418604651i</v>
      </c>
      <c r="AS13" s="93" t="str">
        <f t="shared" si="0"/>
        <v>2.30607627906977+0.0001i</v>
      </c>
      <c r="AU13" s="87" t="str">
        <f t="shared" si="1"/>
        <v>0.000192559139534884+0.0577674418604651i</v>
      </c>
      <c r="AV13" s="87" t="str">
        <f t="shared" si="5"/>
        <v>0.000438279319813435+0.133216146632875i</v>
      </c>
      <c r="AW13" s="87" t="str">
        <f t="shared" si="6"/>
        <v>2.3062688382093+0.0578674418604651i</v>
      </c>
      <c r="AX13" s="87" t="str">
        <f t="shared" si="7"/>
        <v>0.0016383501677454+0.0577215185386444i</v>
      </c>
      <c r="AY13" s="87" t="str">
        <f t="shared" si="8"/>
        <v>0.0017383501677454-3.63939476053113i</v>
      </c>
      <c r="AZ13" s="87">
        <f t="shared" si="9"/>
        <v>3.0000000000000004</v>
      </c>
      <c r="BA13" s="87">
        <f t="shared" si="10"/>
        <v>3.639395175690975</v>
      </c>
    </row>
    <row r="14" spans="2:60" ht="18.75" x14ac:dyDescent="0.35">
      <c r="B14" s="9" t="s">
        <v>160</v>
      </c>
      <c r="D14" s="139">
        <f>1000*0.001*D9/(D8*1.73)</f>
        <v>360.22451202144589</v>
      </c>
      <c r="E14" t="s">
        <v>12</v>
      </c>
      <c r="N14" s="9" t="s">
        <v>26</v>
      </c>
      <c r="O14" s="2">
        <f>D8*D8/(O11-O10)</f>
        <v>0.25002691975925079</v>
      </c>
      <c r="P14" s="87" t="s">
        <v>2</v>
      </c>
      <c r="V14" s="87"/>
      <c r="W14" s="51" t="s">
        <v>327</v>
      </c>
      <c r="X14" s="317">
        <f>D30/1000</f>
        <v>2.0772946859903376</v>
      </c>
      <c r="Y14" s="317"/>
      <c r="Z14" s="274" t="s">
        <v>328</v>
      </c>
      <c r="AA14" s="284">
        <f>D29*1.73</f>
        <v>8.3040000000000003</v>
      </c>
      <c r="AB14" s="284"/>
      <c r="AC14" s="87" t="s">
        <v>329</v>
      </c>
      <c r="AO14" s="87">
        <f t="shared" si="11"/>
        <v>3.2000000000000006</v>
      </c>
      <c r="AP14" s="126" t="str">
        <f t="shared" si="2"/>
        <v>0.0001-3.46604651162791i</v>
      </c>
      <c r="AQ14" s="105" t="str">
        <f t="shared" si="3"/>
        <v>0.000000001</v>
      </c>
      <c r="AR14" s="105" t="str">
        <f t="shared" si="4"/>
        <v>0.000192558139534884+0.0616186046511628i</v>
      </c>
      <c r="AS14" s="93" t="str">
        <f t="shared" si="0"/>
        <v>2.30607627906977+0.0001i</v>
      </c>
      <c r="AU14" s="87" t="str">
        <f t="shared" si="1"/>
        <v>0.000192559139534884+0.0616186046511628i</v>
      </c>
      <c r="AV14" s="87" t="str">
        <f t="shared" si="5"/>
        <v>0.000437894203534366+0.142097221791339i</v>
      </c>
      <c r="AW14" s="87" t="str">
        <f t="shared" si="6"/>
        <v>2.3062688382093+0.0617186046511628i</v>
      </c>
      <c r="AX14" s="87" t="str">
        <f t="shared" si="7"/>
        <v>0.00183740795333666+0.0615642969214844i</v>
      </c>
      <c r="AY14" s="87" t="str">
        <f t="shared" si="8"/>
        <v>0.00193740795333666-3.40448221470643i</v>
      </c>
      <c r="AZ14" s="87">
        <f t="shared" si="9"/>
        <v>3.2000000000000006</v>
      </c>
      <c r="BA14" s="87">
        <f t="shared" si="10"/>
        <v>3.4044827659722374</v>
      </c>
    </row>
    <row r="15" spans="2:60" s="64" customFormat="1" ht="18" x14ac:dyDescent="0.35">
      <c r="B15" s="4" t="s">
        <v>54</v>
      </c>
      <c r="C15"/>
      <c r="D15" s="141">
        <f>SQRT(SUM(T85:AA85,T79:AA79))</f>
        <v>373.8471600281174</v>
      </c>
      <c r="E15" s="18" t="s">
        <v>12</v>
      </c>
      <c r="V15" s="87"/>
      <c r="W15" s="51" t="s">
        <v>327</v>
      </c>
      <c r="X15" s="284" t="s">
        <v>345</v>
      </c>
      <c r="Y15" s="284"/>
      <c r="Z15" s="274" t="s">
        <v>328</v>
      </c>
      <c r="AA15" s="284" t="s">
        <v>345</v>
      </c>
      <c r="AB15" s="284"/>
      <c r="AC15" s="87" t="s">
        <v>329</v>
      </c>
      <c r="AO15" s="87">
        <f t="shared" si="11"/>
        <v>3.4000000000000008</v>
      </c>
      <c r="AP15" s="126" t="str">
        <f t="shared" si="2"/>
        <v>0.0001-3.26216142270862i</v>
      </c>
      <c r="AQ15" s="105" t="str">
        <f t="shared" si="3"/>
        <v>0.000000001</v>
      </c>
      <c r="AR15" s="105" t="str">
        <f t="shared" si="4"/>
        <v>0.000192558139534884+0.0654697674418605i</v>
      </c>
      <c r="AS15" s="93" t="str">
        <f t="shared" si="0"/>
        <v>2.30607627906977+0.0001i</v>
      </c>
      <c r="AT15" s="87"/>
      <c r="AU15" s="87" t="str">
        <f t="shared" si="1"/>
        <v>0.000192559139534884+0.0654697674418605i</v>
      </c>
      <c r="AV15" s="87" t="str">
        <f t="shared" si="5"/>
        <v>0.000437509087255296+0.150978296949803i</v>
      </c>
      <c r="AW15" s="87" t="str">
        <f t="shared" si="6"/>
        <v>2.3062688382093+0.0655697674418605i</v>
      </c>
      <c r="AX15" s="87" t="str">
        <f t="shared" si="7"/>
        <v>0.00204927034710884+0.0654060464550352i</v>
      </c>
      <c r="AY15" s="87" t="str">
        <f t="shared" si="8"/>
        <v>0.00214927034710884-3.19675537625358i</v>
      </c>
      <c r="AZ15" s="87">
        <f t="shared" si="9"/>
        <v>3.4000000000000008</v>
      </c>
      <c r="BA15" s="87">
        <f t="shared" si="10"/>
        <v>3.1967560987615542</v>
      </c>
    </row>
    <row r="16" spans="2:60" ht="17.25" customHeight="1" x14ac:dyDescent="0.35">
      <c r="B16" s="69" t="s">
        <v>109</v>
      </c>
      <c r="D16" s="196">
        <f>BH8/100</f>
        <v>4.99</v>
      </c>
      <c r="N16" s="136" t="s">
        <v>218</v>
      </c>
      <c r="O16" s="136"/>
      <c r="P16" s="136"/>
      <c r="AO16" s="87">
        <f t="shared" si="11"/>
        <v>3.600000000000001</v>
      </c>
      <c r="AP16" s="126" t="str">
        <f t="shared" si="2"/>
        <v>0.0001-3.08093023255814i</v>
      </c>
      <c r="AQ16" s="105" t="str">
        <f t="shared" si="3"/>
        <v>0.000000001</v>
      </c>
      <c r="AR16" s="105" t="str">
        <f t="shared" si="4"/>
        <v>0.000192558139534884+0.0693209302325582i</v>
      </c>
      <c r="AS16" s="93" t="str">
        <f t="shared" si="0"/>
        <v>2.30607627906977+0.0001i</v>
      </c>
      <c r="AU16" s="87" t="str">
        <f t="shared" si="1"/>
        <v>0.000192559139534884+0.0693209302325582i</v>
      </c>
      <c r="AV16" s="87" t="str">
        <f t="shared" si="5"/>
        <v>0.000437123970976226+0.159859372108267i</v>
      </c>
      <c r="AW16" s="87" t="str">
        <f t="shared" si="6"/>
        <v>2.3062688382093+0.0694209302325582i</v>
      </c>
      <c r="AX16" s="87" t="str">
        <f t="shared" si="7"/>
        <v>0.00227393027049397+0.0692467032063814i</v>
      </c>
      <c r="AY16" s="87" t="str">
        <f t="shared" si="8"/>
        <v>0.00237393027049397-3.01168352935176i</v>
      </c>
      <c r="AZ16" s="87">
        <f t="shared" si="9"/>
        <v>3.600000000000001</v>
      </c>
      <c r="BA16" s="87">
        <f t="shared" si="10"/>
        <v>3.011684464965346</v>
      </c>
    </row>
    <row r="17" spans="1:53" x14ac:dyDescent="0.25">
      <c r="B17" s="70" t="s">
        <v>110</v>
      </c>
      <c r="D17" s="139">
        <f>D16*D24*D10</f>
        <v>2.3060762790697678</v>
      </c>
      <c r="E17" t="s">
        <v>3</v>
      </c>
      <c r="N17" s="87"/>
      <c r="O17" s="87"/>
      <c r="P17" s="87"/>
      <c r="AO17" s="87">
        <f t="shared" si="11"/>
        <v>3.8000000000000012</v>
      </c>
      <c r="AP17" s="126" t="str">
        <f t="shared" si="2"/>
        <v>0.0001-2.91877600979192i</v>
      </c>
      <c r="AQ17" s="105" t="str">
        <f t="shared" si="3"/>
        <v>0.000000001</v>
      </c>
      <c r="AR17" s="105" t="str">
        <f t="shared" si="4"/>
        <v>0.000192558139534884+0.0731720930232558i</v>
      </c>
      <c r="AS17" s="93" t="str">
        <f t="shared" si="0"/>
        <v>2.30607627906977+0.0001i</v>
      </c>
      <c r="AU17" s="87" t="str">
        <f t="shared" si="1"/>
        <v>0.000192559139534884+0.0731720930232558i</v>
      </c>
      <c r="AV17" s="87" t="str">
        <f t="shared" si="5"/>
        <v>0.000436738854697156+0.168740447266731i</v>
      </c>
      <c r="AW17" s="87" t="str">
        <f t="shared" si="6"/>
        <v>2.3062688382093+0.0732720930232558i</v>
      </c>
      <c r="AX17" s="87" t="str">
        <f t="shared" si="7"/>
        <v>0.00251138021981738+0.0730862033033943i</v>
      </c>
      <c r="AY17" s="87" t="str">
        <f t="shared" si="8"/>
        <v>0.00261138021981738-2.84568980648853i</v>
      </c>
      <c r="AZ17" s="87">
        <f t="shared" si="9"/>
        <v>3.8000000000000012</v>
      </c>
      <c r="BA17" s="87">
        <f t="shared" si="10"/>
        <v>2.8456910046699337</v>
      </c>
    </row>
    <row r="18" spans="1:53" ht="18" x14ac:dyDescent="0.25">
      <c r="B18" s="46" t="s">
        <v>111</v>
      </c>
      <c r="C18" s="101"/>
      <c r="D18" s="146">
        <f>(SUM(T96:AI96))/1000</f>
        <v>6.0989227898647171E-2</v>
      </c>
      <c r="E18" s="101" t="s">
        <v>82</v>
      </c>
      <c r="N18" s="87" t="s">
        <v>219</v>
      </c>
      <c r="O18" s="98">
        <f>2*660</f>
        <v>1320</v>
      </c>
      <c r="P18" s="87" t="s">
        <v>11</v>
      </c>
      <c r="AO18" s="87">
        <f t="shared" si="11"/>
        <v>4.0000000000000009</v>
      </c>
      <c r="AP18" s="126" t="str">
        <f t="shared" si="2"/>
        <v>0.0001-2.77283720930233i</v>
      </c>
      <c r="AQ18" s="105" t="str">
        <f t="shared" si="3"/>
        <v>0.000000001</v>
      </c>
      <c r="AR18" s="105" t="str">
        <f t="shared" si="4"/>
        <v>0.000192558139534884+0.0770232558139535i</v>
      </c>
      <c r="AS18" s="93" t="str">
        <f t="shared" si="0"/>
        <v>2.30607627906977+0.0001i</v>
      </c>
      <c r="AU18" s="87" t="str">
        <f t="shared" si="1"/>
        <v>0.000192559139534884+0.0770232558139535i</v>
      </c>
      <c r="AV18" s="87" t="str">
        <f t="shared" si="5"/>
        <v>0.000436353738418087+0.177621522425195i</v>
      </c>
      <c r="AW18" s="87" t="str">
        <f t="shared" si="6"/>
        <v>2.3062688382093+0.0771232558139535i</v>
      </c>
      <c r="AX18" s="87" t="str">
        <f t="shared" si="7"/>
        <v>0.00276161226692327+0.0769244829382609i</v>
      </c>
      <c r="AY18" s="87" t="str">
        <f t="shared" si="8"/>
        <v>0.00286161226692327-2.69591272636407i</v>
      </c>
      <c r="AZ18" s="87">
        <f t="shared" si="9"/>
        <v>4.0000000000000009</v>
      </c>
      <c r="BA18" s="87">
        <f t="shared" si="10"/>
        <v>2.6959142451117613</v>
      </c>
    </row>
    <row r="19" spans="1:53" ht="20.25" x14ac:dyDescent="0.35">
      <c r="B19" s="91" t="s">
        <v>305</v>
      </c>
      <c r="C19" s="87"/>
      <c r="D19" s="93">
        <f>SQRT(D18*1000/D17)</f>
        <v>5.1426827467228149</v>
      </c>
      <c r="E19" s="87" t="s">
        <v>12</v>
      </c>
      <c r="N19" s="87" t="s">
        <v>220</v>
      </c>
      <c r="O19" s="107">
        <v>50</v>
      </c>
      <c r="P19" s="87" t="s">
        <v>222</v>
      </c>
      <c r="AO19" s="87">
        <f t="shared" si="11"/>
        <v>4.2000000000000011</v>
      </c>
      <c r="AP19" s="126" t="str">
        <f t="shared" si="2"/>
        <v>0.0001-2.64079734219269i</v>
      </c>
      <c r="AQ19" s="105" t="str">
        <f t="shared" si="3"/>
        <v>0.000000001</v>
      </c>
      <c r="AR19" s="105" t="str">
        <f t="shared" si="4"/>
        <v>0.000192558139534884+0.0808744186046512i</v>
      </c>
      <c r="AS19" s="93" t="str">
        <f t="shared" si="0"/>
        <v>2.30607627906977+0.0001i</v>
      </c>
      <c r="AU19" s="87" t="str">
        <f t="shared" si="1"/>
        <v>0.000192559139534884+0.0808744186046512i</v>
      </c>
      <c r="AV19" s="87" t="str">
        <f t="shared" si="5"/>
        <v>0.000435968622139017+0.186502597583659i</v>
      </c>
      <c r="AW19" s="87" t="str">
        <f t="shared" si="6"/>
        <v>2.3062688382093+0.0809744186046512i</v>
      </c>
      <c r="AX19" s="87" t="str">
        <f t="shared" si="7"/>
        <v>0.00302461805983531+0.0807614783710048i</v>
      </c>
      <c r="AY19" s="87" t="str">
        <f t="shared" si="8"/>
        <v>0.00312461805983531-2.56003586382168i</v>
      </c>
      <c r="AZ19" s="87">
        <f t="shared" si="9"/>
        <v>4.2000000000000011</v>
      </c>
      <c r="BA19" s="87">
        <f t="shared" si="10"/>
        <v>2.5600377706766819</v>
      </c>
    </row>
    <row r="20" spans="1:53" x14ac:dyDescent="0.25">
      <c r="B20" s="46" t="s">
        <v>304</v>
      </c>
      <c r="D20" s="264">
        <f>D18*1.5</f>
        <v>9.1483841847970759E-2</v>
      </c>
      <c r="E20" s="195" t="s">
        <v>82</v>
      </c>
      <c r="F20" t="s">
        <v>306</v>
      </c>
      <c r="N20" t="s">
        <v>221</v>
      </c>
      <c r="O20" s="98">
        <v>16</v>
      </c>
      <c r="P20" t="s">
        <v>1</v>
      </c>
      <c r="AO20" s="87">
        <f t="shared" si="11"/>
        <v>4.4000000000000012</v>
      </c>
      <c r="AP20" s="126" t="str">
        <f t="shared" si="2"/>
        <v>0.0001-2.52076109936575i</v>
      </c>
      <c r="AQ20" s="105" t="str">
        <f t="shared" si="3"/>
        <v>0.000000001</v>
      </c>
      <c r="AR20" s="105" t="str">
        <f t="shared" si="4"/>
        <v>0.000192558139534884+0.0847255813953489i</v>
      </c>
      <c r="AS20" s="93" t="str">
        <f t="shared" si="0"/>
        <v>2.30607627906977+0.0001i</v>
      </c>
      <c r="AU20" s="87" t="str">
        <f t="shared" si="1"/>
        <v>0.000192559139534884+0.0847255813953489i</v>
      </c>
      <c r="AV20" s="87" t="str">
        <f t="shared" si="5"/>
        <v>0.000435583505859947+0.195383672742123i</v>
      </c>
      <c r="AW20" s="87" t="str">
        <f t="shared" si="6"/>
        <v>2.3062688382093+0.0848255813953489i</v>
      </c>
      <c r="AX20" s="87" t="str">
        <f t="shared" si="7"/>
        <v>0.00330038882345222+0.0845971259329988i</v>
      </c>
      <c r="AY20" s="87" t="str">
        <f t="shared" si="8"/>
        <v>0.00340038882345222-2.43616397343275i</v>
      </c>
      <c r="AZ20" s="87">
        <f t="shared" si="9"/>
        <v>4.4000000000000012</v>
      </c>
      <c r="BA20" s="87">
        <f t="shared" si="10"/>
        <v>2.4361663465567771</v>
      </c>
    </row>
    <row r="21" spans="1:53" ht="20.25" x14ac:dyDescent="0.35">
      <c r="B21" s="91" t="s">
        <v>314</v>
      </c>
      <c r="D21" s="139">
        <f>SQRT((D20*1000)/D17)</f>
        <v>6.2984743192427777</v>
      </c>
      <c r="E21" s="195" t="s">
        <v>12</v>
      </c>
      <c r="N21" s="87" t="s">
        <v>144</v>
      </c>
      <c r="O21" s="194">
        <f>ROUND(1000*1000/(O22*2*3.1415*O19),2)</f>
        <v>16.41</v>
      </c>
      <c r="P21" s="87" t="s">
        <v>166</v>
      </c>
      <c r="AO21" s="87">
        <f t="shared" si="11"/>
        <v>4.6000000000000014</v>
      </c>
      <c r="AP21" s="126" t="str">
        <f t="shared" si="2"/>
        <v>0.0001-2.41116279069767i</v>
      </c>
      <c r="AQ21" s="105" t="str">
        <f t="shared" si="3"/>
        <v>0.000000001</v>
      </c>
      <c r="AR21" s="105" t="str">
        <f t="shared" si="4"/>
        <v>0.000192558139534884+0.0885767441860466i</v>
      </c>
      <c r="AS21" s="93" t="str">
        <f t="shared" si="0"/>
        <v>2.30607627906977+0.0001i</v>
      </c>
      <c r="AU21" s="87" t="str">
        <f t="shared" si="1"/>
        <v>0.000192559139534884+0.0885767441860466i</v>
      </c>
      <c r="AV21" s="87" t="str">
        <f t="shared" si="5"/>
        <v>0.000435198389580877+0.204264747900587i</v>
      </c>
      <c r="AW21" s="87" t="str">
        <f t="shared" si="6"/>
        <v>2.3062688382093+0.0886767441860466i</v>
      </c>
      <c r="AX21" s="87" t="str">
        <f t="shared" si="7"/>
        <v>0.0035889153602783+0.0884313620304701i</v>
      </c>
      <c r="AY21" s="87" t="str">
        <f t="shared" si="8"/>
        <v>0.0036889153602783-2.3227314286672i</v>
      </c>
      <c r="AZ21" s="87">
        <f t="shared" si="9"/>
        <v>4.6000000000000014</v>
      </c>
      <c r="BA21" s="87">
        <f t="shared" si="10"/>
        <v>2.3227343579959605</v>
      </c>
    </row>
    <row r="22" spans="1:53" ht="18.75" x14ac:dyDescent="0.35">
      <c r="B22" s="241" t="s">
        <v>27</v>
      </c>
      <c r="D22" s="139">
        <f>(D10*D10/(D10*D10-1))*D13</f>
        <v>11.091348837209305</v>
      </c>
      <c r="E22" t="s">
        <v>3</v>
      </c>
      <c r="K22" s="22" t="s">
        <v>151</v>
      </c>
      <c r="L22" s="77" t="str">
        <f>ROUND(1000*1000/(2*3.1415*D11*D22),2)&amp;" micro-farads/Phase"</f>
        <v>239.16 micro-farads/Phase</v>
      </c>
      <c r="N22" s="95" t="s">
        <v>147</v>
      </c>
      <c r="O22" s="194">
        <f>O20*O20/(O18/1000)</f>
        <v>193.93939393939394</v>
      </c>
      <c r="P22" s="87" t="s">
        <v>3</v>
      </c>
      <c r="AO22" s="87">
        <f t="shared" si="11"/>
        <v>4.8000000000000016</v>
      </c>
      <c r="AP22" s="126" t="str">
        <f t="shared" si="2"/>
        <v>0.0001-2.3106976744186i</v>
      </c>
      <c r="AQ22" s="105" t="str">
        <f t="shared" si="3"/>
        <v>0.000000001</v>
      </c>
      <c r="AR22" s="105" t="str">
        <f t="shared" si="4"/>
        <v>0.000192558139534884+0.0924279069767442i</v>
      </c>
      <c r="AS22" s="93" t="str">
        <f t="shared" si="0"/>
        <v>2.30607627906977+0.0001i</v>
      </c>
      <c r="AU22" s="87" t="str">
        <f t="shared" si="1"/>
        <v>0.000192559139534884+0.0924279069767442i</v>
      </c>
      <c r="AV22" s="87" t="str">
        <f t="shared" si="5"/>
        <v>0.000434813273301808+0.213145823059051i</v>
      </c>
      <c r="AW22" s="87" t="str">
        <f t="shared" si="6"/>
        <v>2.3062688382093+0.0925279069767442i</v>
      </c>
      <c r="AX22" s="87" t="str">
        <f t="shared" si="7"/>
        <v>0.00389018805118861+0.092264123147996i</v>
      </c>
      <c r="AY22" s="87" t="str">
        <f t="shared" si="8"/>
        <v>0.00399018805118861-2.2184335512706i</v>
      </c>
      <c r="AZ22" s="87">
        <f t="shared" si="9"/>
        <v>4.8000000000000016</v>
      </c>
      <c r="BA22" s="87">
        <f t="shared" si="10"/>
        <v>2.2184371397458547</v>
      </c>
    </row>
    <row r="23" spans="1:53" x14ac:dyDescent="0.25">
      <c r="D23" s="143"/>
      <c r="I23" t="s">
        <v>0</v>
      </c>
      <c r="N23" s="195" t="s">
        <v>223</v>
      </c>
      <c r="O23" s="89">
        <f>O18/O20</f>
        <v>82.5</v>
      </c>
      <c r="P23" s="195" t="s">
        <v>53</v>
      </c>
      <c r="AO23" s="178">
        <f t="shared" si="11"/>
        <v>5.0000000000000018</v>
      </c>
      <c r="AP23" s="179" t="str">
        <f t="shared" si="2"/>
        <v>0.0001-2.21826976744186i</v>
      </c>
      <c r="AQ23" s="105" t="str">
        <f t="shared" si="3"/>
        <v>0.000000001</v>
      </c>
      <c r="AR23" s="180" t="str">
        <f t="shared" si="4"/>
        <v>0.000192558139534884+0.0962790697674419i</v>
      </c>
      <c r="AS23" s="181" t="str">
        <f t="shared" si="0"/>
        <v>2.30607627906977+0.0001i</v>
      </c>
      <c r="AT23" s="178"/>
      <c r="AU23" s="178" t="str">
        <f t="shared" si="1"/>
        <v>0.000192559139534884+0.0962790697674419i</v>
      </c>
      <c r="AV23" s="178" t="str">
        <f t="shared" si="5"/>
        <v>0.000434428157022738+0.222026898217515i</v>
      </c>
      <c r="AW23" s="178" t="str">
        <f t="shared" si="6"/>
        <v>2.3062688382093+0.0963790697674419i</v>
      </c>
      <c r="AX23" s="178" t="str">
        <f t="shared" si="7"/>
        <v>0.00420419685622891+0.0960953458519911i</v>
      </c>
      <c r="AY23" s="178" t="str">
        <f t="shared" si="8"/>
        <v>0.00430419685622891-2.12217442158987i</v>
      </c>
      <c r="AZ23" s="178">
        <f t="shared" si="9"/>
        <v>5.0000000000000018</v>
      </c>
      <c r="BA23" s="178">
        <f t="shared" si="10"/>
        <v>2.1221787864741453</v>
      </c>
    </row>
    <row r="24" spans="1:53" ht="33" x14ac:dyDescent="0.25">
      <c r="B24" s="71" t="s">
        <v>132</v>
      </c>
      <c r="D24" s="280">
        <f>D22/(D10*D10)</f>
        <v>1.9255813953488375E-2</v>
      </c>
      <c r="E24" t="s">
        <v>5</v>
      </c>
      <c r="AO24" s="87">
        <f t="shared" si="11"/>
        <v>5.200000000000002</v>
      </c>
      <c r="AP24" s="126" t="str">
        <f t="shared" si="2"/>
        <v>0.0001-2.13295169946333i</v>
      </c>
      <c r="AQ24" s="105" t="str">
        <f t="shared" si="3"/>
        <v>0.000000001</v>
      </c>
      <c r="AR24" s="105" t="str">
        <f t="shared" si="4"/>
        <v>0.000192558139534884+0.10013023255814i</v>
      </c>
      <c r="AS24" s="93" t="str">
        <f t="shared" si="0"/>
        <v>2.30607627906977+0.0001i</v>
      </c>
      <c r="AU24" s="87" t="str">
        <f t="shared" si="1"/>
        <v>0.000192559139534884+0.10013023255814i</v>
      </c>
      <c r="AV24" s="87" t="str">
        <f t="shared" si="5"/>
        <v>0.000434043040743668+0.23090797337598i</v>
      </c>
      <c r="AW24" s="87" t="str">
        <f t="shared" si="6"/>
        <v>2.3062688382093+0.10023023255814i</v>
      </c>
      <c r="AX24" s="87" t="str">
        <f t="shared" si="7"/>
        <v>0.0045309313154501+0.0999249667941848i</v>
      </c>
      <c r="AY24" s="87" t="str">
        <f t="shared" si="8"/>
        <v>0.0046309313154501-2.03302673266915i</v>
      </c>
      <c r="AZ24" s="87">
        <f t="shared" si="9"/>
        <v>5.200000000000002</v>
      </c>
      <c r="BA24" s="87">
        <f t="shared" si="10"/>
        <v>2.03303200694732</v>
      </c>
    </row>
    <row r="25" spans="1:53" ht="28.5" customHeight="1" x14ac:dyDescent="0.25">
      <c r="B25" s="72" t="s">
        <v>114</v>
      </c>
      <c r="D25" s="139">
        <f>1000*D24/(2*3.1415*D11)</f>
        <v>5.1079139353515768E-2</v>
      </c>
      <c r="E25" t="s">
        <v>9</v>
      </c>
      <c r="AF25" s="87" t="s">
        <v>330</v>
      </c>
      <c r="AO25" s="87">
        <f t="shared" si="11"/>
        <v>5.4000000000000021</v>
      </c>
      <c r="AP25" s="126" t="str">
        <f t="shared" si="2"/>
        <v>0.0001-2.05395348837209i</v>
      </c>
      <c r="AQ25" s="105" t="str">
        <f t="shared" si="3"/>
        <v>0.000000001</v>
      </c>
      <c r="AR25" s="105" t="str">
        <f t="shared" si="4"/>
        <v>0.000192558139534884+0.103981395348837i</v>
      </c>
      <c r="AS25" s="93" t="str">
        <f t="shared" si="0"/>
        <v>2.30607627906977+0.0001i</v>
      </c>
      <c r="AU25" s="87" t="str">
        <f t="shared" si="1"/>
        <v>0.000192559139534884+0.103981395348837i</v>
      </c>
      <c r="AV25" s="87" t="str">
        <f t="shared" si="5"/>
        <v>0.000433657924464598+0.239789048534443i</v>
      </c>
      <c r="AW25" s="87" t="str">
        <f t="shared" si="6"/>
        <v>2.3062688382093+0.104081395348837i</v>
      </c>
      <c r="AX25" s="87" t="str">
        <f t="shared" si="7"/>
        <v>0.00487038054977678+0.103752922715087i</v>
      </c>
      <c r="AY25" s="87" t="str">
        <f t="shared" si="8"/>
        <v>0.00497038054977678-1.950200565657i</v>
      </c>
      <c r="AZ25" s="87">
        <f t="shared" si="9"/>
        <v>5.4000000000000021</v>
      </c>
      <c r="BA25" s="87">
        <f t="shared" si="10"/>
        <v>1.9502068995293018</v>
      </c>
    </row>
    <row r="26" spans="1:53" ht="33" x14ac:dyDescent="0.25">
      <c r="B26" s="73" t="s">
        <v>150</v>
      </c>
      <c r="D26" s="160">
        <v>100</v>
      </c>
      <c r="E26" s="75" t="s">
        <v>133</v>
      </c>
      <c r="AO26" s="87">
        <f t="shared" si="11"/>
        <v>5.6000000000000023</v>
      </c>
      <c r="AP26" s="126" t="str">
        <f t="shared" si="2"/>
        <v>0.0001-1.98059800664452i</v>
      </c>
      <c r="AQ26" s="105" t="str">
        <f t="shared" si="3"/>
        <v>0.000000001</v>
      </c>
      <c r="AR26" s="105" t="str">
        <f t="shared" si="4"/>
        <v>0.000192558139534884+0.107832558139535i</v>
      </c>
      <c r="AS26" s="93" t="str">
        <f t="shared" si="0"/>
        <v>2.30607627906977+0.0001i</v>
      </c>
      <c r="AU26" s="87" t="str">
        <f t="shared" si="1"/>
        <v>0.000192559139534884+0.107832558139535i</v>
      </c>
      <c r="AV26" s="87" t="str">
        <f t="shared" si="5"/>
        <v>0.000433272808185528+0.248670123692907i</v>
      </c>
      <c r="AW26" s="87" t="str">
        <f t="shared" si="6"/>
        <v>2.3062688382093+0.107932558139535i</v>
      </c>
      <c r="AX26" s="87" t="str">
        <f t="shared" si="7"/>
        <v>0.00522253326191084+0.107579150447448i</v>
      </c>
      <c r="AY26" s="87" t="str">
        <f t="shared" si="8"/>
        <v>0.00532253326191084-1.87301885619707i</v>
      </c>
      <c r="AZ26" s="87">
        <f t="shared" si="9"/>
        <v>5.6000000000000023</v>
      </c>
      <c r="BA26" s="87">
        <f t="shared" si="10"/>
        <v>1.8730264186684884</v>
      </c>
    </row>
    <row r="27" spans="1:53" x14ac:dyDescent="0.25">
      <c r="B27" s="4"/>
      <c r="AO27" s="87">
        <f t="shared" si="11"/>
        <v>5.8000000000000025</v>
      </c>
      <c r="AP27" s="126" t="str">
        <f t="shared" si="2"/>
        <v>0.0001-1.91230152365678i</v>
      </c>
      <c r="AQ27" s="105" t="str">
        <f t="shared" si="3"/>
        <v>0.000000001</v>
      </c>
      <c r="AR27" s="105" t="str">
        <f t="shared" si="4"/>
        <v>0.000192558139534884+0.111683720930233i</v>
      </c>
      <c r="AS27" s="93" t="str">
        <f t="shared" si="0"/>
        <v>2.30607627906977+0.0001i</v>
      </c>
      <c r="AU27" s="87" t="str">
        <f t="shared" si="1"/>
        <v>0.000192559139534884+0.111683720930233i</v>
      </c>
      <c r="AV27" s="87" t="str">
        <f t="shared" si="5"/>
        <v>0.000432887691906459+0.257551198851372i</v>
      </c>
      <c r="AW27" s="87" t="str">
        <f t="shared" si="6"/>
        <v>2.3062688382093+0.111783720930233i</v>
      </c>
      <c r="AX27" s="87" t="str">
        <f t="shared" si="7"/>
        <v>0.00558737773726807+0.111403586919705i</v>
      </c>
      <c r="AY27" s="87" t="str">
        <f t="shared" si="8"/>
        <v>0.00568737773726807-1.80089793673707i</v>
      </c>
      <c r="AZ27" s="87">
        <f t="shared" si="9"/>
        <v>5.8000000000000025</v>
      </c>
      <c r="BA27" s="87">
        <f t="shared" si="10"/>
        <v>1.8009069173084329</v>
      </c>
    </row>
    <row r="28" spans="1:53" ht="21" x14ac:dyDescent="0.35">
      <c r="A28" s="76"/>
      <c r="B28" s="286" t="s">
        <v>153</v>
      </c>
      <c r="C28" s="286"/>
      <c r="D28" s="286"/>
      <c r="E28" s="286"/>
      <c r="F28" s="286"/>
      <c r="G28" s="286"/>
      <c r="H28" s="286"/>
      <c r="I28" s="286"/>
      <c r="J28" s="286"/>
      <c r="K28" s="286"/>
      <c r="L28" s="286"/>
      <c r="M28" s="78"/>
      <c r="N28" s="78"/>
      <c r="O28" s="78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76"/>
      <c r="AM28" s="76"/>
      <c r="AN28" s="76"/>
      <c r="AO28" s="87">
        <f t="shared" si="11"/>
        <v>6.0000000000000027</v>
      </c>
      <c r="AP28" s="126" t="str">
        <f t="shared" si="2"/>
        <v>0.0001-1.84855813953488i</v>
      </c>
      <c r="AQ28" s="105" t="str">
        <f t="shared" si="3"/>
        <v>0.000000001</v>
      </c>
      <c r="AR28" s="105" t="str">
        <f t="shared" si="4"/>
        <v>0.000192558139534884+0.11553488372093i</v>
      </c>
      <c r="AS28" s="93" t="str">
        <f t="shared" si="0"/>
        <v>2.30607627906977+0.0001i</v>
      </c>
      <c r="AU28" s="87" t="str">
        <f t="shared" si="1"/>
        <v>0.000192559139534884+0.11553488372093i</v>
      </c>
      <c r="AV28" s="87" t="str">
        <f t="shared" si="5"/>
        <v>0.000432502575627389+0.266432274009835i</v>
      </c>
      <c r="AW28" s="87" t="str">
        <f t="shared" si="6"/>
        <v>2.3062688382093+0.11563488372093i</v>
      </c>
      <c r="AX28" s="87" t="str">
        <f t="shared" si="7"/>
        <v>0.00596490184494955+0.115226169159413i</v>
      </c>
      <c r="AY28" s="87" t="str">
        <f t="shared" si="8"/>
        <v>0.00606490184494955-1.73333197037547i</v>
      </c>
      <c r="AZ28" s="87">
        <f t="shared" si="9"/>
        <v>6.0000000000000027</v>
      </c>
      <c r="BA28" s="87">
        <f t="shared" si="10"/>
        <v>1.7333425808420266</v>
      </c>
    </row>
    <row r="29" spans="1:53" ht="27.75" customHeight="1" x14ac:dyDescent="0.35">
      <c r="B29" s="79" t="s">
        <v>152</v>
      </c>
      <c r="D29" s="98">
        <v>4.8</v>
      </c>
      <c r="E29" t="s">
        <v>1</v>
      </c>
      <c r="V29" s="312" t="s">
        <v>340</v>
      </c>
      <c r="W29" s="312"/>
      <c r="X29" s="312"/>
      <c r="Y29" s="312"/>
      <c r="Z29" s="312"/>
      <c r="AA29" s="312"/>
      <c r="AB29" s="312"/>
      <c r="AC29" s="312"/>
      <c r="AO29" s="87">
        <f t="shared" si="11"/>
        <v>6.2000000000000028</v>
      </c>
      <c r="AP29" s="126" t="str">
        <f t="shared" si="2"/>
        <v>0.0001-1.78892723180795i</v>
      </c>
      <c r="AQ29" s="105" t="str">
        <f t="shared" si="3"/>
        <v>0.000000001</v>
      </c>
      <c r="AR29" s="105" t="str">
        <f t="shared" si="4"/>
        <v>0.000192558139534884+0.119386046511628i</v>
      </c>
      <c r="AS29" s="93" t="str">
        <f t="shared" si="0"/>
        <v>2.30607627906977+0.0001i</v>
      </c>
      <c r="AU29" s="87" t="str">
        <f t="shared" si="1"/>
        <v>0.000192559139534884+0.119386046511628i</v>
      </c>
      <c r="AV29" s="87" t="str">
        <f t="shared" si="5"/>
        <v>0.000432117459348319+0.2753133491683i</v>
      </c>
      <c r="AW29" s="87" t="str">
        <f t="shared" si="6"/>
        <v>2.3062688382093+0.119486046511628i</v>
      </c>
      <c r="AX29" s="87" t="str">
        <f t="shared" si="7"/>
        <v>0.00635509303874691+0.119046834296675i</v>
      </c>
      <c r="AY29" s="87" t="str">
        <f t="shared" si="8"/>
        <v>0.00645509303874691-1.66988039751128i</v>
      </c>
      <c r="AZ29" s="87">
        <f t="shared" si="9"/>
        <v>6.2000000000000028</v>
      </c>
      <c r="BA29" s="87">
        <f t="shared" si="10"/>
        <v>1.6698928738750189</v>
      </c>
    </row>
    <row r="30" spans="1:53" ht="24" customHeight="1" x14ac:dyDescent="0.35">
      <c r="B30" s="4" t="s">
        <v>28</v>
      </c>
      <c r="D30" s="140">
        <f>1000*(D29*D29)/D22</f>
        <v>2077.2946859903377</v>
      </c>
      <c r="E30" t="s">
        <v>11</v>
      </c>
      <c r="W30" s="51"/>
      <c r="X30" s="313" t="s">
        <v>335</v>
      </c>
      <c r="Y30" s="313"/>
      <c r="Z30" s="51"/>
      <c r="AA30" s="313" t="s">
        <v>336</v>
      </c>
      <c r="AB30" s="313"/>
      <c r="AO30" s="87">
        <f t="shared" si="11"/>
        <v>6.400000000000003</v>
      </c>
      <c r="AP30" s="126" t="str">
        <f t="shared" si="2"/>
        <v>0.0001-1.73302325581395i</v>
      </c>
      <c r="AQ30" s="105" t="str">
        <f t="shared" si="3"/>
        <v>0.000000001</v>
      </c>
      <c r="AR30" s="105" t="str">
        <f t="shared" si="4"/>
        <v>0.000192558139534884+0.123237209302326i</v>
      </c>
      <c r="AS30" s="93" t="str">
        <f t="shared" si="0"/>
        <v>2.30607627906977+0.0001i</v>
      </c>
      <c r="AU30" s="87" t="str">
        <f t="shared" si="1"/>
        <v>0.000192559139534884+0.123237209302326i</v>
      </c>
      <c r="AV30" s="87" t="str">
        <f t="shared" si="5"/>
        <v>0.000431732343069249+0.284194424326764i</v>
      </c>
      <c r="AW30" s="87" t="str">
        <f t="shared" si="6"/>
        <v>2.3062688382093+0.123337209302326i</v>
      </c>
      <c r="AX30" s="87" t="str">
        <f t="shared" si="7"/>
        <v>0.00675793835818043+0.122865519567547i</v>
      </c>
      <c r="AY30" s="87" t="str">
        <f t="shared" si="8"/>
        <v>0.00685793835818043-1.6101577362464i</v>
      </c>
      <c r="AZ30" s="87">
        <f t="shared" si="9"/>
        <v>6.400000000000003</v>
      </c>
      <c r="BA30" s="87">
        <f t="shared" si="10"/>
        <v>1.6101723407488575</v>
      </c>
    </row>
    <row r="31" spans="1:53" ht="24.75" customHeight="1" x14ac:dyDescent="0.25">
      <c r="B31" s="12" t="s">
        <v>154</v>
      </c>
      <c r="D31" s="160">
        <v>2</v>
      </c>
      <c r="J31" s="22" t="s">
        <v>87</v>
      </c>
      <c r="K31" s="21">
        <f>(D29*D29)/D32*1000</f>
        <v>22.182697674418609</v>
      </c>
      <c r="L31" t="s">
        <v>135</v>
      </c>
      <c r="W31" s="276" t="s">
        <v>331</v>
      </c>
      <c r="X31" s="302">
        <f>D30</f>
        <v>2077.2946859903377</v>
      </c>
      <c r="Y31" s="301"/>
      <c r="Z31" s="276" t="s">
        <v>337</v>
      </c>
      <c r="AA31" s="323">
        <f>D24</f>
        <v>1.9255813953488375E-2</v>
      </c>
      <c r="AB31" s="323"/>
      <c r="AC31" s="101" t="s">
        <v>5</v>
      </c>
      <c r="AO31" s="87">
        <f t="shared" si="11"/>
        <v>6.6000000000000032</v>
      </c>
      <c r="AP31" s="126" t="str">
        <f t="shared" si="2"/>
        <v>0.0001-1.68050739957717i</v>
      </c>
      <c r="AQ31" s="105" t="str">
        <f t="shared" si="3"/>
        <v>0.000000001</v>
      </c>
      <c r="AR31" s="105" t="str">
        <f t="shared" si="4"/>
        <v>0.000192558139534884+0.127088372093023i</v>
      </c>
      <c r="AS31" s="93" t="str">
        <f t="shared" si="0"/>
        <v>2.30607627906977+0.0001i</v>
      </c>
      <c r="AU31" s="87" t="str">
        <f t="shared" si="1"/>
        <v>0.000192559139534884+0.127088372093023i</v>
      </c>
      <c r="AV31" s="87" t="str">
        <f t="shared" si="5"/>
        <v>0.00043134722679018+0.293075499485227i</v>
      </c>
      <c r="AW31" s="87" t="str">
        <f t="shared" si="6"/>
        <v>2.3062688382093+0.127188372093023i</v>
      </c>
      <c r="AX31" s="87" t="str">
        <f t="shared" si="7"/>
        <v>0.00717342442957155+0.126682162317446i</v>
      </c>
      <c r="AY31" s="87" t="str">
        <f t="shared" si="8"/>
        <v>0.00727342442957155-1.55382523725972i</v>
      </c>
      <c r="AZ31" s="87">
        <f t="shared" si="9"/>
        <v>6.6000000000000032</v>
      </c>
      <c r="BA31" s="87">
        <f t="shared" si="10"/>
        <v>1.5538422605426068</v>
      </c>
    </row>
    <row r="32" spans="1:53" ht="20.25" customHeight="1" x14ac:dyDescent="0.25">
      <c r="B32" s="80" t="s">
        <v>155</v>
      </c>
      <c r="D32" s="140">
        <f>D30/D31</f>
        <v>1038.6473429951689</v>
      </c>
      <c r="E32" t="s">
        <v>11</v>
      </c>
      <c r="J32" s="22" t="s">
        <v>88</v>
      </c>
      <c r="K32" s="21">
        <f>1000*1000/(2*3.1415*$D$11*K31)</f>
        <v>119.58241768130577</v>
      </c>
      <c r="L32" t="s">
        <v>134</v>
      </c>
      <c r="W32" s="276" t="s">
        <v>332</v>
      </c>
      <c r="X32" s="300">
        <f>ROUND(1000*1000/(2*3.1415*D11*D22),2)</f>
        <v>239.16</v>
      </c>
      <c r="Y32" s="301"/>
      <c r="Z32" s="276" t="s">
        <v>338</v>
      </c>
      <c r="AA32" s="301">
        <f>D26</f>
        <v>100</v>
      </c>
      <c r="AB32" s="301"/>
      <c r="AC32" s="101"/>
      <c r="AO32" s="87">
        <f t="shared" si="11"/>
        <v>6.8000000000000034</v>
      </c>
      <c r="AP32" s="126" t="str">
        <f t="shared" si="2"/>
        <v>0.0001-1.63108071135431i</v>
      </c>
      <c r="AQ32" s="105" t="str">
        <f t="shared" si="3"/>
        <v>0.000000001</v>
      </c>
      <c r="AR32" s="105" t="str">
        <f t="shared" si="4"/>
        <v>0.000192558139534884+0.130939534883721i</v>
      </c>
      <c r="AS32" s="93" t="str">
        <f t="shared" si="0"/>
        <v>2.30607627906977+0.0001i</v>
      </c>
      <c r="AU32" s="87" t="str">
        <f t="shared" si="1"/>
        <v>0.000192559139534884+0.130939534883721i</v>
      </c>
      <c r="AV32" s="87" t="str">
        <f t="shared" si="5"/>
        <v>0.00043096211051111+0.301956574643692i</v>
      </c>
      <c r="AW32" s="87" t="str">
        <f t="shared" si="6"/>
        <v>2.3062688382093+0.131039534883721i</v>
      </c>
      <c r="AX32" s="87" t="str">
        <f t="shared" si="7"/>
        <v>0.00760153746714859+0.13049670000453i</v>
      </c>
      <c r="AY32" s="87" t="str">
        <f t="shared" si="8"/>
        <v>0.00770153746714859-1.50058401134978i</v>
      </c>
      <c r="AZ32" s="87">
        <f t="shared" si="9"/>
        <v>6.8000000000000034</v>
      </c>
      <c r="BA32" s="87">
        <f t="shared" si="10"/>
        <v>1.5006037747513348</v>
      </c>
    </row>
    <row r="33" spans="1:53" ht="39.75" customHeight="1" x14ac:dyDescent="0.25">
      <c r="B33" s="86" t="s">
        <v>157</v>
      </c>
      <c r="D33" s="145">
        <f>D14/D31</f>
        <v>180.11225601072294</v>
      </c>
      <c r="E33" s="84" t="s">
        <v>12</v>
      </c>
      <c r="W33" s="276" t="s">
        <v>333</v>
      </c>
      <c r="X33" s="301">
        <f>D29</f>
        <v>4.8</v>
      </c>
      <c r="Y33" s="301"/>
      <c r="Z33" s="276" t="s">
        <v>339</v>
      </c>
      <c r="AA33" s="301">
        <f>AK102</f>
        <v>373.81178669920962</v>
      </c>
      <c r="AB33" s="301"/>
      <c r="AC33" s="101" t="s">
        <v>215</v>
      </c>
      <c r="AO33" s="87">
        <f t="shared" si="11"/>
        <v>7.0000000000000036</v>
      </c>
      <c r="AP33" s="126" t="str">
        <f t="shared" si="2"/>
        <v>0.0001-1.58447840531561i</v>
      </c>
      <c r="AQ33" s="105" t="str">
        <f t="shared" si="3"/>
        <v>0.000000001</v>
      </c>
      <c r="AR33" s="105" t="str">
        <f t="shared" si="4"/>
        <v>0.000192558139534884+0.134790697674419i</v>
      </c>
      <c r="AS33" s="93" t="str">
        <f t="shared" si="0"/>
        <v>2.30607627906977+0.0001i</v>
      </c>
      <c r="AU33" s="87" t="str">
        <f t="shared" si="1"/>
        <v>0.000192559139534884+0.134790697674419i</v>
      </c>
      <c r="AV33" s="87" t="str">
        <f t="shared" si="5"/>
        <v>0.00043057699423204+0.310837649802156i</v>
      </c>
      <c r="AW33" s="87" t="str">
        <f t="shared" si="6"/>
        <v>2.3062688382093+0.134890697674419i</v>
      </c>
      <c r="AX33" s="87" t="str">
        <f t="shared" si="7"/>
        <v>0.0080422632741848+0.134309070203076i</v>
      </c>
      <c r="AY33" s="87" t="str">
        <f t="shared" si="8"/>
        <v>0.0081422632741848-1.45016933511253i</v>
      </c>
      <c r="AZ33" s="87">
        <f t="shared" si="9"/>
        <v>7.0000000000000036</v>
      </c>
      <c r="BA33" s="87">
        <f t="shared" si="10"/>
        <v>1.4501921931081907</v>
      </c>
    </row>
    <row r="34" spans="1:53" ht="33" x14ac:dyDescent="0.25">
      <c r="B34" s="86" t="s">
        <v>159</v>
      </c>
      <c r="D34" s="144">
        <f>1.8*D33</f>
        <v>324.20206081930132</v>
      </c>
      <c r="E34" s="84" t="s">
        <v>12</v>
      </c>
      <c r="W34" s="276" t="s">
        <v>334</v>
      </c>
      <c r="X34" s="301">
        <f>X33*1.1</f>
        <v>5.28</v>
      </c>
      <c r="Y34" s="301"/>
      <c r="Z34" s="46"/>
      <c r="AA34" s="101"/>
      <c r="AB34" s="101"/>
      <c r="AO34" s="87">
        <f t="shared" si="11"/>
        <v>7.2000000000000037</v>
      </c>
      <c r="AP34" s="126" t="str">
        <f t="shared" si="2"/>
        <v>0.0001-1.54046511627907i</v>
      </c>
      <c r="AQ34" s="105" t="str">
        <f t="shared" si="3"/>
        <v>0.000000001</v>
      </c>
      <c r="AR34" s="105" t="str">
        <f t="shared" si="4"/>
        <v>0.000192558139534884+0.138641860465116i</v>
      </c>
      <c r="AS34" s="93" t="str">
        <f t="shared" si="0"/>
        <v>2.30607627906977+0.0001i</v>
      </c>
      <c r="AU34" s="87" t="str">
        <f t="shared" si="1"/>
        <v>0.000192559139534884+0.138641860465116i</v>
      </c>
      <c r="AV34" s="87" t="str">
        <f t="shared" si="5"/>
        <v>0.00043019187795297+0.319718724960619i</v>
      </c>
      <c r="AW34" s="87" t="str">
        <f t="shared" si="6"/>
        <v>2.3062688382093+0.138741860465116i</v>
      </c>
      <c r="AX34" s="87" t="str">
        <f t="shared" si="7"/>
        <v>0.00849558724417054+0.138119210606838i</v>
      </c>
      <c r="AY34" s="87" t="str">
        <f t="shared" si="8"/>
        <v>0.00859558724417054-1.40234590567223i</v>
      </c>
      <c r="AZ34" s="87">
        <f t="shared" si="9"/>
        <v>7.2000000000000037</v>
      </c>
      <c r="BA34" s="87">
        <f t="shared" si="10"/>
        <v>1.4023722484689076</v>
      </c>
    </row>
    <row r="35" spans="1:53" ht="26.25" customHeight="1" x14ac:dyDescent="0.25">
      <c r="B35" s="85" t="s">
        <v>30</v>
      </c>
      <c r="D35" s="145">
        <f>D14*D22/1000</f>
        <v>3.9953757225433528</v>
      </c>
      <c r="E35" s="84" t="s">
        <v>1</v>
      </c>
      <c r="F35" s="15" t="s">
        <v>0</v>
      </c>
      <c r="Z35" s="91"/>
      <c r="AA35" s="311" t="s">
        <v>323</v>
      </c>
      <c r="AB35" s="311"/>
      <c r="AO35" s="87">
        <f t="shared" si="11"/>
        <v>7.4000000000000039</v>
      </c>
      <c r="AP35" s="126" t="str">
        <f t="shared" si="2"/>
        <v>0.0001-1.4988309239472i</v>
      </c>
      <c r="AQ35" s="105" t="str">
        <f t="shared" si="3"/>
        <v>0.000000001</v>
      </c>
      <c r="AR35" s="105" t="str">
        <f t="shared" si="4"/>
        <v>0.000192558139534884+0.142493023255814i</v>
      </c>
      <c r="AS35" s="93" t="str">
        <f t="shared" si="0"/>
        <v>2.30607627906977+0.0001i</v>
      </c>
      <c r="AU35" s="87" t="str">
        <f t="shared" si="1"/>
        <v>0.000192559139534884+0.142493023255814i</v>
      </c>
      <c r="AV35" s="87" t="str">
        <f t="shared" si="5"/>
        <v>0.000429806761673901+0.328599800119084i</v>
      </c>
      <c r="AW35" s="87" t="str">
        <f t="shared" si="6"/>
        <v>2.3062688382093+0.142593023255814i</v>
      </c>
      <c r="AX35" s="87" t="str">
        <f t="shared" si="7"/>
        <v>0.00896149436201784+0.141927059032399i</v>
      </c>
      <c r="AY35" s="87" t="str">
        <f t="shared" si="8"/>
        <v>0.00906149436201784-1.3569038649148i</v>
      </c>
      <c r="AZ35" s="87">
        <f t="shared" si="9"/>
        <v>7.4000000000000039</v>
      </c>
      <c r="BA35" s="87">
        <f t="shared" si="10"/>
        <v>1.3569341212088353</v>
      </c>
    </row>
    <row r="36" spans="1:53" ht="33" customHeight="1" x14ac:dyDescent="0.25">
      <c r="B36" s="85" t="s">
        <v>34</v>
      </c>
      <c r="D36" s="145">
        <f>SQRT(SUM(T78:AA78)+SUM(T84:AA84))/1000</f>
        <v>4.0015290042557838</v>
      </c>
      <c r="E36" s="84" t="s">
        <v>1</v>
      </c>
      <c r="Z36" s="278" t="s">
        <v>344</v>
      </c>
      <c r="AA36" s="321">
        <f>D17</f>
        <v>2.3060762790697678</v>
      </c>
      <c r="AB36" s="322"/>
      <c r="AO36" s="87">
        <f t="shared" si="11"/>
        <v>7.6000000000000041</v>
      </c>
      <c r="AP36" s="126" t="str">
        <f t="shared" si="2"/>
        <v>0.0001-1.45938800489596i</v>
      </c>
      <c r="AQ36" s="105" t="str">
        <f t="shared" si="3"/>
        <v>0.000000001</v>
      </c>
      <c r="AR36" s="105" t="str">
        <f t="shared" si="4"/>
        <v>0.000192558139534884+0.146344186046512i</v>
      </c>
      <c r="AS36" s="93" t="str">
        <f t="shared" si="0"/>
        <v>2.30607627906977+0.0001i</v>
      </c>
      <c r="AU36" s="87" t="str">
        <f t="shared" si="1"/>
        <v>0.000192559139534884+0.146344186046512i</v>
      </c>
      <c r="AV36" s="87" t="str">
        <f t="shared" si="5"/>
        <v>0.000429421645394831+0.337480875277549i</v>
      </c>
      <c r="AW36" s="87" t="str">
        <f t="shared" si="6"/>
        <v>2.3062688382093+0.146444186046512i</v>
      </c>
      <c r="AX36" s="87" t="str">
        <f t="shared" si="7"/>
        <v>0.0094399692052971+0.145732553422496i</v>
      </c>
      <c r="AY36" s="87" t="str">
        <f t="shared" si="8"/>
        <v>0.0095399692052971-1.31365545147346i</v>
      </c>
      <c r="AZ36" s="87">
        <f t="shared" si="9"/>
        <v>7.6000000000000041</v>
      </c>
      <c r="BA36" s="87">
        <f t="shared" si="10"/>
        <v>1.3136900913831917</v>
      </c>
    </row>
    <row r="37" spans="1:53" ht="30" customHeight="1" x14ac:dyDescent="0.25">
      <c r="B37" s="85" t="s">
        <v>35</v>
      </c>
      <c r="D37" s="145">
        <f>1.414*(SUM(D73:K73)+SUM(D79:K79))/1000</f>
        <v>5.9631246167925802</v>
      </c>
      <c r="E37" s="84" t="s">
        <v>1</v>
      </c>
      <c r="AO37" s="87">
        <f t="shared" si="11"/>
        <v>7.8000000000000043</v>
      </c>
      <c r="AP37" s="126" t="str">
        <f t="shared" si="2"/>
        <v>0.0001-1.42196779964222i</v>
      </c>
      <c r="AQ37" s="105" t="str">
        <f t="shared" si="3"/>
        <v>0.000000001</v>
      </c>
      <c r="AR37" s="105" t="str">
        <f t="shared" si="4"/>
        <v>0.000192558139534884+0.150195348837209i</v>
      </c>
      <c r="AS37" s="93" t="str">
        <f t="shared" si="0"/>
        <v>2.30607627906977+0.0001i</v>
      </c>
      <c r="AU37" s="87" t="str">
        <f t="shared" si="1"/>
        <v>0.000192559139534884+0.150195348837209i</v>
      </c>
      <c r="AV37" s="87" t="str">
        <f t="shared" si="5"/>
        <v>0.000429036529115761+0.346361950436011i</v>
      </c>
      <c r="AW37" s="87" t="str">
        <f t="shared" si="6"/>
        <v>2.3062688382093+0.150295348837209i</v>
      </c>
      <c r="AX37" s="87" t="str">
        <f t="shared" si="7"/>
        <v>0.00993099594550686+0.149535631849344i</v>
      </c>
      <c r="AY37" s="87" t="str">
        <f t="shared" si="8"/>
        <v>0.0100309959455069-1.27243216779288i</v>
      </c>
      <c r="AZ37" s="87">
        <f t="shared" si="9"/>
        <v>7.8000000000000043</v>
      </c>
      <c r="BA37" s="87">
        <f t="shared" si="10"/>
        <v>1.27247170597768</v>
      </c>
    </row>
    <row r="38" spans="1:53" ht="29.25" customHeight="1" x14ac:dyDescent="0.25">
      <c r="B38" s="85" t="s">
        <v>52</v>
      </c>
      <c r="D38" s="145">
        <f>SQRT(SUM(T79:AA79,T85:AA85))/D31</f>
        <v>186.9235800140587</v>
      </c>
      <c r="E38" s="84" t="s">
        <v>12</v>
      </c>
      <c r="AO38" s="87">
        <f t="shared" si="11"/>
        <v>8.0000000000000036</v>
      </c>
      <c r="AP38" s="126" t="str">
        <f t="shared" si="2"/>
        <v>0.0001-1.38641860465116i</v>
      </c>
      <c r="AQ38" s="105" t="str">
        <f t="shared" si="3"/>
        <v>0.000000001</v>
      </c>
      <c r="AR38" s="105" t="str">
        <f t="shared" si="4"/>
        <v>0.000192558139534884+0.154046511627907i</v>
      </c>
      <c r="AS38" s="93" t="str">
        <f t="shared" si="0"/>
        <v>2.30607627906977+0.0001i</v>
      </c>
      <c r="AU38" s="87" t="str">
        <f t="shared" si="1"/>
        <v>0.000192559139534884+0.154046511627907i</v>
      </c>
      <c r="AV38" s="87" t="str">
        <f t="shared" si="5"/>
        <v>0.000428651412836691+0.355243025594476i</v>
      </c>
      <c r="AW38" s="87" t="str">
        <f t="shared" si="6"/>
        <v>2.3062688382093+0.154146511627907i</v>
      </c>
      <c r="AX38" s="87" t="str">
        <f t="shared" si="7"/>
        <v>0.0104345583493761+0.153336232517941i</v>
      </c>
      <c r="AY38" s="87" t="str">
        <f t="shared" si="8"/>
        <v>0.0105345583493761-1.23308237213322i</v>
      </c>
      <c r="AZ38" s="87">
        <f t="shared" si="9"/>
        <v>8.0000000000000036</v>
      </c>
      <c r="BA38" s="87">
        <f t="shared" si="10"/>
        <v>1.2331273711118835</v>
      </c>
    </row>
    <row r="39" spans="1:53" ht="32.25" customHeight="1" x14ac:dyDescent="0.25">
      <c r="B39" s="82" t="s">
        <v>161</v>
      </c>
      <c r="D39" s="146">
        <f>1*(SUM(T80:AA80)+SUM(T86:AA86))</f>
        <v>1461.4149676699296</v>
      </c>
      <c r="E39" s="84" t="s">
        <v>11</v>
      </c>
      <c r="AO39" s="87">
        <f t="shared" si="11"/>
        <v>8.2000000000000028</v>
      </c>
      <c r="AP39" s="126" t="str">
        <f t="shared" si="2"/>
        <v>0.0001-1.35260351673284i</v>
      </c>
      <c r="AQ39" s="105" t="str">
        <f t="shared" si="3"/>
        <v>0.000000001</v>
      </c>
      <c r="AR39" s="105" t="str">
        <f t="shared" si="4"/>
        <v>0.000192558139534884+0.157897674418605i</v>
      </c>
      <c r="AS39" s="93" t="str">
        <f t="shared" si="0"/>
        <v>2.30607627906977+0.0001i</v>
      </c>
      <c r="AU39" s="87" t="str">
        <f t="shared" si="1"/>
        <v>0.000192559139534884+0.157897674418605i</v>
      </c>
      <c r="AV39" s="87" t="str">
        <f t="shared" si="5"/>
        <v>0.000428266296557621+0.364124100752941i</v>
      </c>
      <c r="AW39" s="87" t="str">
        <f t="shared" si="6"/>
        <v>2.3062688382093+0.157997674418605i</v>
      </c>
      <c r="AX39" s="87" t="str">
        <f t="shared" si="7"/>
        <v>0.0109506397801975+0.157134293769348i</v>
      </c>
      <c r="AY39" s="87" t="str">
        <f t="shared" si="8"/>
        <v>0.0110506397801975-1.19546922296349i</v>
      </c>
      <c r="AZ39" s="87">
        <f t="shared" si="9"/>
        <v>8.2000000000000028</v>
      </c>
      <c r="BA39" s="87">
        <f t="shared" si="10"/>
        <v>1.1955202966459757</v>
      </c>
    </row>
    <row r="40" spans="1:53" ht="27" customHeight="1" x14ac:dyDescent="0.25">
      <c r="AO40" s="87">
        <f t="shared" si="11"/>
        <v>8.4000000000000021</v>
      </c>
      <c r="AP40" s="126" t="str">
        <f t="shared" si="2"/>
        <v>0.0001-1.32039867109635i</v>
      </c>
      <c r="AQ40" s="105" t="str">
        <f t="shared" si="3"/>
        <v>0.000000001</v>
      </c>
      <c r="AR40" s="105" t="str">
        <f t="shared" si="4"/>
        <v>0.000192558139534884+0.161748837209302i</v>
      </c>
      <c r="AS40" s="93" t="str">
        <f t="shared" si="0"/>
        <v>2.30607627906977+0.0001i</v>
      </c>
      <c r="AU40" s="87" t="str">
        <f t="shared" si="1"/>
        <v>0.000192559139534884+0.161748837209302i</v>
      </c>
      <c r="AV40" s="87" t="str">
        <f t="shared" si="5"/>
        <v>0.000427881180278552+0.373005175911403i</v>
      </c>
      <c r="AW40" s="87" t="str">
        <f t="shared" si="6"/>
        <v>2.3062688382093+0.161848837209302i</v>
      </c>
      <c r="AX40" s="87" t="str">
        <f t="shared" si="7"/>
        <v>0.011479223199193+0.160929754083971i</v>
      </c>
      <c r="AY40" s="87" t="str">
        <f t="shared" si="8"/>
        <v>0.011579223199193-1.15946891701238i</v>
      </c>
      <c r="AZ40" s="87">
        <f t="shared" si="9"/>
        <v>8.4000000000000021</v>
      </c>
      <c r="BA40" s="87">
        <f t="shared" si="10"/>
        <v>1.1595267344601237</v>
      </c>
    </row>
    <row r="41" spans="1:53" ht="21" x14ac:dyDescent="0.35">
      <c r="A41" s="83"/>
      <c r="B41" s="117" t="s">
        <v>162</v>
      </c>
      <c r="C41" s="115"/>
      <c r="D41" s="115"/>
      <c r="E41" s="115"/>
      <c r="F41" s="115"/>
      <c r="G41" s="96"/>
      <c r="H41" s="96"/>
      <c r="I41" s="96"/>
      <c r="J41" s="96"/>
      <c r="K41" s="96"/>
      <c r="L41" s="96"/>
      <c r="M41" s="87"/>
      <c r="N41" s="87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  <c r="AN41" s="83"/>
      <c r="AO41" s="87">
        <f t="shared" si="11"/>
        <v>8.6000000000000014</v>
      </c>
      <c r="AP41" s="126" t="str">
        <f t="shared" si="2"/>
        <v>0.0001-1.2896917252569i</v>
      </c>
      <c r="AQ41" s="105" t="str">
        <f t="shared" si="3"/>
        <v>0.000000001</v>
      </c>
      <c r="AR41" s="105" t="str">
        <f t="shared" si="4"/>
        <v>0.000192558139534884+0.1656i</v>
      </c>
      <c r="AS41" s="93" t="str">
        <f t="shared" si="0"/>
        <v>2.30607627906977+0.0001i</v>
      </c>
      <c r="AU41" s="87" t="str">
        <f t="shared" si="1"/>
        <v>0.000192559139534884+0.1656i</v>
      </c>
      <c r="AV41" s="87" t="str">
        <f t="shared" si="5"/>
        <v>0.000427496063999482+0.381886251069868i</v>
      </c>
      <c r="AW41" s="87" t="str">
        <f t="shared" si="6"/>
        <v>2.3062688382093+0.1657i</v>
      </c>
      <c r="AX41" s="87" t="str">
        <f t="shared" si="7"/>
        <v>0.0120202911669125+0.164722552084812i</v>
      </c>
      <c r="AY41" s="87" t="str">
        <f t="shared" si="8"/>
        <v>0.0121202911669125-1.12496917317209i</v>
      </c>
      <c r="AZ41" s="87">
        <f t="shared" si="9"/>
        <v>8.6000000000000014</v>
      </c>
      <c r="BA41" s="87">
        <f t="shared" si="10"/>
        <v>1.1250344626034647</v>
      </c>
    </row>
    <row r="42" spans="1:53" s="83" customFormat="1" x14ac:dyDescent="0.25">
      <c r="B42" s="221" t="s">
        <v>267</v>
      </c>
      <c r="C42" s="116"/>
      <c r="D42" s="296" t="s">
        <v>269</v>
      </c>
      <c r="E42" s="296"/>
      <c r="F42" s="296"/>
      <c r="G42" s="296"/>
      <c r="H42" s="296"/>
      <c r="I42" s="296"/>
      <c r="J42" s="161"/>
      <c r="K42" s="161"/>
      <c r="L42" s="161"/>
      <c r="M42" s="87"/>
      <c r="N42" s="87"/>
      <c r="V42" s="311" t="s">
        <v>350</v>
      </c>
      <c r="W42" s="311"/>
      <c r="X42" s="311"/>
      <c r="Y42" s="311"/>
      <c r="Z42" s="311"/>
      <c r="AA42" s="311"/>
      <c r="AB42" s="311"/>
      <c r="AC42" s="311"/>
      <c r="AD42" s="154">
        <f>D29</f>
        <v>4.8</v>
      </c>
      <c r="AO42" s="87">
        <f t="shared" si="11"/>
        <v>8.8000000000000007</v>
      </c>
      <c r="AP42" s="126" t="str">
        <f t="shared" si="2"/>
        <v>0.0001-1.26038054968288i</v>
      </c>
      <c r="AQ42" s="105" t="str">
        <f t="shared" si="3"/>
        <v>0.000000001</v>
      </c>
      <c r="AR42" s="105" t="str">
        <f t="shared" si="4"/>
        <v>0.000192558139534884+0.169451162790698i</v>
      </c>
      <c r="AS42" s="93" t="str">
        <f t="shared" si="0"/>
        <v>2.30607627906977+0.0001i</v>
      </c>
      <c r="AT42" s="87"/>
      <c r="AU42" s="87" t="str">
        <f t="shared" si="1"/>
        <v>0.000192559139534884+0.169451162790698i</v>
      </c>
      <c r="AV42" s="87" t="str">
        <f t="shared" si="5"/>
        <v>0.000427110947720412+0.390767326228333i</v>
      </c>
      <c r="AW42" s="87" t="str">
        <f t="shared" si="6"/>
        <v>2.3062688382093+0.169551162790698i</v>
      </c>
      <c r="AX42" s="87" t="str">
        <f t="shared" si="7"/>
        <v>0.0125738258446611+0.168512626540711i</v>
      </c>
      <c r="AY42" s="87" t="str">
        <f t="shared" si="8"/>
        <v>0.0126738258446611-1.09186792314217i</v>
      </c>
      <c r="AZ42" s="87">
        <f t="shared" si="9"/>
        <v>8.8000000000000007</v>
      </c>
      <c r="BA42" s="87">
        <f t="shared" si="10"/>
        <v>1.0919414762011452</v>
      </c>
    </row>
    <row r="43" spans="1:53" s="87" customFormat="1" x14ac:dyDescent="0.25">
      <c r="B43" s="221"/>
      <c r="C43" s="116"/>
      <c r="D43" s="298" t="s">
        <v>276</v>
      </c>
      <c r="E43" s="298"/>
      <c r="F43" s="227"/>
      <c r="G43" s="227"/>
      <c r="H43" s="227"/>
      <c r="I43" s="298" t="s">
        <v>276</v>
      </c>
      <c r="J43" s="298"/>
      <c r="K43" s="298"/>
      <c r="L43" s="161"/>
      <c r="AD43" s="154"/>
      <c r="AP43" s="126"/>
      <c r="AQ43" s="105"/>
      <c r="AR43" s="105"/>
      <c r="AS43" s="93"/>
    </row>
    <row r="44" spans="1:53" s="83" customFormat="1" ht="39.75" customHeight="1" x14ac:dyDescent="0.25">
      <c r="B44" s="162"/>
      <c r="C44" s="162"/>
      <c r="D44" s="234" t="s">
        <v>280</v>
      </c>
      <c r="E44" s="233" t="s">
        <v>279</v>
      </c>
      <c r="F44" s="235" t="s">
        <v>275</v>
      </c>
      <c r="G44" s="161"/>
      <c r="I44" s="234" t="s">
        <v>280</v>
      </c>
      <c r="J44" s="299" t="s">
        <v>281</v>
      </c>
      <c r="K44" s="299"/>
      <c r="L44" s="235" t="s">
        <v>277</v>
      </c>
      <c r="M44" s="87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3"/>
      <c r="AD44" s="154">
        <f>1.414*D29</f>
        <v>6.7871999999999995</v>
      </c>
      <c r="AE44" s="143"/>
      <c r="AF44" s="143"/>
      <c r="AG44" s="143"/>
      <c r="AH44" s="143"/>
      <c r="AI44" s="143"/>
      <c r="AJ44" s="143"/>
      <c r="AK44" s="143"/>
      <c r="AO44" s="87">
        <f>AO42+0.2</f>
        <v>9</v>
      </c>
      <c r="AP44" s="126" t="str">
        <f t="shared" si="2"/>
        <v>0.0001-1.23237209302326i</v>
      </c>
      <c r="AQ44" s="105" t="str">
        <f t="shared" si="3"/>
        <v>0.000000001</v>
      </c>
      <c r="AR44" s="105" t="str">
        <f t="shared" si="4"/>
        <v>0.000192558139534884+0.173302325581395i</v>
      </c>
      <c r="AS44" s="93" t="str">
        <f t="shared" ref="AS44:AS107" si="12">COMPLEX($D$17,0.0001)</f>
        <v>2.30607627906977+0.0001i</v>
      </c>
      <c r="AT44" s="87"/>
      <c r="AU44" s="87" t="str">
        <f t="shared" si="1"/>
        <v>0.000192559139534884+0.173302325581395i</v>
      </c>
      <c r="AV44" s="87" t="str">
        <f t="shared" si="5"/>
        <v>0.000426725831441342+0.399648401386795i</v>
      </c>
      <c r="AW44" s="87" t="str">
        <f t="shared" si="6"/>
        <v>2.3062688382093+0.173402325581395i</v>
      </c>
      <c r="AX44" s="87" t="str">
        <f t="shared" si="7"/>
        <v>0.0131398089959597+0.172299916369567i</v>
      </c>
      <c r="AY44" s="87" t="str">
        <f t="shared" si="8"/>
        <v>0.0132398089959597-1.06007217665369i</v>
      </c>
      <c r="AZ44" s="87">
        <f t="shared" si="9"/>
        <v>9</v>
      </c>
      <c r="BA44" s="87">
        <f t="shared" si="10"/>
        <v>1.0601548529613687</v>
      </c>
    </row>
    <row r="45" spans="1:53" s="83" customFormat="1" x14ac:dyDescent="0.25">
      <c r="B45" s="163" t="s">
        <v>91</v>
      </c>
      <c r="C45" s="162"/>
      <c r="D45" s="164">
        <f>D36/(AD42)</f>
        <v>0.83365187588662171</v>
      </c>
      <c r="E45" s="230">
        <f>SQRT(SUM(T78*1.1*1.1,U78:AA78)+SUM(T84:AA84))/1000/(AD42)</f>
        <v>0.91677248623115715</v>
      </c>
      <c r="F45" s="111">
        <f>IF(LEFT(D42,2)="SD",1.1,1.25)</f>
        <v>1.25</v>
      </c>
      <c r="H45" s="163" t="str">
        <f>"% "&amp;$L$95&amp;"HZ AMPS:"</f>
        <v>% 60HZ AMPS:</v>
      </c>
      <c r="I45" s="236">
        <f>D38/AD45</f>
        <v>0.86384776326497104</v>
      </c>
      <c r="J45" s="319">
        <f>(SQRT(SUM(T79*1.1*1.1,U79:AA79,T85:AA85))/D31)/AD45</f>
        <v>0.94431419529681304</v>
      </c>
      <c r="K45" s="319"/>
      <c r="L45" s="165">
        <v>1.35</v>
      </c>
      <c r="M45" s="87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  <c r="AA45" s="143"/>
      <c r="AB45" s="143"/>
      <c r="AC45" s="143"/>
      <c r="AD45" s="154">
        <f>D32/D29</f>
        <v>216.38486312399351</v>
      </c>
      <c r="AE45" s="143"/>
      <c r="AF45" s="143"/>
      <c r="AG45" s="143"/>
      <c r="AH45" s="143"/>
      <c r="AI45" s="143"/>
      <c r="AJ45" s="143"/>
      <c r="AK45" s="143"/>
      <c r="AO45" s="87">
        <f t="shared" si="11"/>
        <v>9.1999999999999993</v>
      </c>
      <c r="AP45" s="126" t="str">
        <f t="shared" si="2"/>
        <v>0.0001-1.20558139534884i</v>
      </c>
      <c r="AQ45" s="105" t="str">
        <f t="shared" si="3"/>
        <v>0.000000001</v>
      </c>
      <c r="AR45" s="105" t="str">
        <f t="shared" si="4"/>
        <v>0.000192558139534884+0.177153488372093i</v>
      </c>
      <c r="AS45" s="93" t="str">
        <f t="shared" si="12"/>
        <v>2.30607627906977+0.0001i</v>
      </c>
      <c r="AT45" s="87"/>
      <c r="AU45" s="87" t="str">
        <f t="shared" si="1"/>
        <v>0.000192559139534884+0.177153488372093i</v>
      </c>
      <c r="AV45" s="87" t="str">
        <f t="shared" si="5"/>
        <v>0.000426340715162273+0.40852947654526i</v>
      </c>
      <c r="AW45" s="87" t="str">
        <f t="shared" si="6"/>
        <v>2.3062688382093+0.177253488372093i</v>
      </c>
      <c r="AX45" s="87" t="str">
        <f t="shared" si="7"/>
        <v>0.0137182219880368+0.176084360641551i</v>
      </c>
      <c r="AY45" s="87" t="str">
        <f t="shared" si="8"/>
        <v>0.0138182219880368-1.02949703470729i</v>
      </c>
      <c r="AZ45" s="87">
        <f t="shared" si="9"/>
        <v>9.1999999999999993</v>
      </c>
      <c r="BA45" s="87">
        <f t="shared" si="10"/>
        <v>1.0295897667177998</v>
      </c>
    </row>
    <row r="46" spans="1:53" s="83" customFormat="1" x14ac:dyDescent="0.25">
      <c r="B46" s="166" t="s">
        <v>92</v>
      </c>
      <c r="C46" s="167"/>
      <c r="D46" s="168">
        <f>D37/(AD44)</f>
        <v>0.87858389568490403</v>
      </c>
      <c r="E46" s="231">
        <f>D46+0.1</f>
        <v>0.978583895684904</v>
      </c>
      <c r="F46" s="132">
        <f>IF(LEFT(D42,2)="SD",1.2,1.35)</f>
        <v>1.35</v>
      </c>
      <c r="G46" s="96"/>
      <c r="H46" s="170" t="str">
        <f>"% "&amp;$L$95&amp;"HZ KVAR:"</f>
        <v>% 60HZ KVAR:</v>
      </c>
      <c r="I46" s="237">
        <f>(SUM(T80:AA80)+SUM(T86:AA86))/AD46</f>
        <v>0.70351836815738489</v>
      </c>
      <c r="J46" s="320">
        <f>(SUM(T80*1.1*1.1,U80:AA80)+SUM(T86:AA86))/AD46</f>
        <v>0.84901470949855917</v>
      </c>
      <c r="K46" s="320"/>
      <c r="L46" s="169">
        <v>1.35</v>
      </c>
      <c r="M46" s="87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55">
        <f>D32*D31</f>
        <v>2077.2946859903377</v>
      </c>
      <c r="AE46" s="143"/>
      <c r="AF46" s="143"/>
      <c r="AG46" s="143"/>
      <c r="AH46" s="143"/>
      <c r="AI46" s="143"/>
      <c r="AJ46" s="143"/>
      <c r="AK46" s="143"/>
      <c r="AO46" s="87">
        <f t="shared" si="11"/>
        <v>9.3999999999999986</v>
      </c>
      <c r="AP46" s="126" t="str">
        <f t="shared" si="2"/>
        <v>0.0001-1.17993072736269i</v>
      </c>
      <c r="AQ46" s="105" t="str">
        <f t="shared" si="3"/>
        <v>0.000000001</v>
      </c>
      <c r="AR46" s="105" t="str">
        <f t="shared" si="4"/>
        <v>0.000192558139534884+0.181004651162791i</v>
      </c>
      <c r="AS46" s="93" t="str">
        <f t="shared" si="12"/>
        <v>2.30607627906977+0.0001i</v>
      </c>
      <c r="AT46" s="87"/>
      <c r="AU46" s="87" t="str">
        <f t="shared" si="1"/>
        <v>0.000192559139534884+0.181004651162791i</v>
      </c>
      <c r="AV46" s="87" t="str">
        <f t="shared" si="5"/>
        <v>0.000425955598883203+0.417410551703725i</v>
      </c>
      <c r="AW46" s="87" t="str">
        <f t="shared" si="6"/>
        <v>2.3062688382093+0.181104651162791i</v>
      </c>
      <c r="AX46" s="87" t="str">
        <f t="shared" si="7"/>
        <v>0.014309045793349+0.179865898582289i</v>
      </c>
      <c r="AY46" s="87" t="str">
        <f t="shared" si="8"/>
        <v>0.014409045793349-1.0000648287804i</v>
      </c>
      <c r="AZ46" s="87">
        <f t="shared" si="9"/>
        <v>9.3999999999999986</v>
      </c>
      <c r="BA46" s="87">
        <f t="shared" si="10"/>
        <v>1.000168626964596</v>
      </c>
    </row>
    <row r="47" spans="1:53" s="83" customFormat="1" x14ac:dyDescent="0.25">
      <c r="B47" s="87"/>
      <c r="C47" s="110"/>
      <c r="D47" s="87"/>
      <c r="E47" s="87"/>
      <c r="F47" s="87"/>
      <c r="G47" s="87"/>
      <c r="H47" s="87"/>
      <c r="I47" s="87"/>
      <c r="J47" s="87"/>
      <c r="K47" s="87"/>
      <c r="L47" s="87"/>
      <c r="M47" s="87"/>
      <c r="O47" s="143"/>
      <c r="P47" s="143"/>
      <c r="Q47" s="143"/>
      <c r="R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143"/>
      <c r="AD47" s="143"/>
      <c r="AE47" s="143"/>
      <c r="AF47" s="143"/>
      <c r="AG47" s="143"/>
      <c r="AH47" s="143"/>
      <c r="AI47" s="143"/>
      <c r="AJ47" s="143"/>
      <c r="AK47" s="143"/>
      <c r="AO47" s="87">
        <f t="shared" si="11"/>
        <v>9.5999999999999979</v>
      </c>
      <c r="AP47" s="126" t="str">
        <f t="shared" si="2"/>
        <v>0.0001-1.1553488372093i</v>
      </c>
      <c r="AQ47" s="105" t="str">
        <f t="shared" si="3"/>
        <v>0.000000001</v>
      </c>
      <c r="AR47" s="105" t="str">
        <f t="shared" si="4"/>
        <v>0.000192558139534884+0.184855813953488i</v>
      </c>
      <c r="AS47" s="93" t="str">
        <f t="shared" si="12"/>
        <v>2.30607627906977+0.0001i</v>
      </c>
      <c r="AT47" s="87"/>
      <c r="AU47" s="87" t="str">
        <f t="shared" si="1"/>
        <v>0.000192559139534884+0.184855813953488i</v>
      </c>
      <c r="AV47" s="87" t="str">
        <f t="shared" si="5"/>
        <v>0.000425570482604133+0.426291626862187i</v>
      </c>
      <c r="AW47" s="87" t="str">
        <f t="shared" si="6"/>
        <v>2.3062688382093+0.184955813953488i</v>
      </c>
      <c r="AX47" s="87" t="str">
        <f t="shared" si="7"/>
        <v>0.0149122609911339+0.183644469576035i</v>
      </c>
      <c r="AY47" s="87" t="str">
        <f t="shared" si="8"/>
        <v>0.0150122609911339-0.971704367633265i</v>
      </c>
      <c r="AZ47" s="87">
        <f t="shared" si="9"/>
        <v>9.5999999999999979</v>
      </c>
      <c r="BA47" s="87">
        <f t="shared" si="10"/>
        <v>0.97182032601588919</v>
      </c>
    </row>
    <row r="48" spans="1:53" s="87" customFormat="1" x14ac:dyDescent="0.25">
      <c r="C48" s="110"/>
      <c r="N48" s="155"/>
      <c r="O48" s="143"/>
      <c r="P48" s="143"/>
      <c r="Q48" s="143"/>
      <c r="R48" s="143"/>
      <c r="S48" s="143"/>
      <c r="T48" s="143"/>
      <c r="U48" s="143"/>
      <c r="V48" s="143"/>
      <c r="W48" s="143"/>
      <c r="X48" s="143"/>
      <c r="Y48" s="143"/>
      <c r="Z48" s="143"/>
      <c r="AA48" s="143"/>
      <c r="AB48" s="143"/>
      <c r="AC48" s="143"/>
      <c r="AD48" s="143"/>
      <c r="AE48" s="143"/>
      <c r="AF48" s="143"/>
      <c r="AG48" s="143"/>
      <c r="AH48" s="143"/>
      <c r="AI48" s="143"/>
      <c r="AJ48" s="143"/>
      <c r="AK48" s="143"/>
      <c r="AO48" s="87">
        <f t="shared" si="11"/>
        <v>9.7999999999999972</v>
      </c>
      <c r="AP48" s="126" t="str">
        <f t="shared" si="2"/>
        <v>0.0001-1.13177028951115i</v>
      </c>
      <c r="AQ48" s="105" t="str">
        <f t="shared" si="3"/>
        <v>0.000000001</v>
      </c>
      <c r="AR48" s="105" t="str">
        <f t="shared" si="4"/>
        <v>0.000192558139534884+0.188706976744186i</v>
      </c>
      <c r="AS48" s="93" t="str">
        <f t="shared" si="12"/>
        <v>2.30607627906977+0.0001i</v>
      </c>
      <c r="AU48" s="87" t="str">
        <f t="shared" si="1"/>
        <v>0.000192559139534884+0.188706976744186i</v>
      </c>
      <c r="AV48" s="87" t="str">
        <f t="shared" si="5"/>
        <v>0.000425185366325063+0.435172702020652i</v>
      </c>
      <c r="AW48" s="87" t="str">
        <f t="shared" si="6"/>
        <v>2.3062688382093+0.188806976744186i</v>
      </c>
      <c r="AX48" s="87" t="str">
        <f t="shared" si="7"/>
        <v>0.0155278477689933+0.187420013168828i</v>
      </c>
      <c r="AY48" s="87" t="str">
        <f t="shared" si="8"/>
        <v>0.0156278477689933-0.944350276342322i</v>
      </c>
      <c r="AZ48" s="87">
        <f t="shared" si="9"/>
        <v>9.7999999999999972</v>
      </c>
      <c r="BA48" s="87">
        <f t="shared" si="10"/>
        <v>0.94447957842068286</v>
      </c>
    </row>
    <row r="49" spans="2:53" s="87" customFormat="1" x14ac:dyDescent="0.25">
      <c r="C49" s="110"/>
      <c r="N49" s="155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O49" s="87">
        <f t="shared" si="11"/>
        <v>9.9999999999999964</v>
      </c>
      <c r="AP49" s="126" t="str">
        <f t="shared" si="2"/>
        <v>0.0001-1.10913488372093i</v>
      </c>
      <c r="AQ49" s="105" t="str">
        <f t="shared" si="3"/>
        <v>0.000000001</v>
      </c>
      <c r="AR49" s="105" t="str">
        <f t="shared" si="4"/>
        <v>0.000192558139534884+0.192558139534884i</v>
      </c>
      <c r="AS49" s="93" t="str">
        <f t="shared" si="12"/>
        <v>2.30607627906977+0.0001i</v>
      </c>
      <c r="AU49" s="87" t="str">
        <f t="shared" si="1"/>
        <v>0.000192559139534884+0.192558139534884i</v>
      </c>
      <c r="AV49" s="87" t="str">
        <f t="shared" si="5"/>
        <v>0.000424800250045994+0.444053777179117i</v>
      </c>
      <c r="AW49" s="87" t="str">
        <f t="shared" si="6"/>
        <v>2.3062688382093+0.192658139534884i</v>
      </c>
      <c r="AX49" s="87" t="str">
        <f t="shared" si="7"/>
        <v>0.0161557859245047+0.191192469071622i</v>
      </c>
      <c r="AY49" s="87" t="str">
        <f t="shared" si="8"/>
        <v>0.0162557859245047-0.917942414649308i</v>
      </c>
      <c r="AZ49" s="87">
        <f t="shared" si="9"/>
        <v>9.9999999999999964</v>
      </c>
      <c r="BA49" s="87">
        <f t="shared" si="10"/>
        <v>0.91808633972422515</v>
      </c>
    </row>
    <row r="50" spans="2:53" x14ac:dyDescent="0.25"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O50" s="87">
        <f t="shared" si="11"/>
        <v>10.199999999999996</v>
      </c>
      <c r="AP50" s="126" t="str">
        <f t="shared" si="2"/>
        <v>0.0001-1.08738714090287i</v>
      </c>
      <c r="AQ50" s="105" t="str">
        <f t="shared" si="3"/>
        <v>0.000000001</v>
      </c>
      <c r="AR50" s="105" t="str">
        <f t="shared" si="4"/>
        <v>0.000192558139534884+0.196409302325581i</v>
      </c>
      <c r="AS50" s="93" t="str">
        <f t="shared" si="12"/>
        <v>2.30607627906977+0.0001i</v>
      </c>
      <c r="AU50" s="87" t="str">
        <f t="shared" si="1"/>
        <v>0.000192559139534884+0.196409302325581i</v>
      </c>
      <c r="AV50" s="87" t="str">
        <f t="shared" si="5"/>
        <v>0.000424415133766924+0.452934852337579i</v>
      </c>
      <c r="AW50" s="87" t="str">
        <f t="shared" si="6"/>
        <v>2.3062688382093+0.196509302325581i</v>
      </c>
      <c r="AX50" s="87" t="str">
        <f t="shared" si="7"/>
        <v>0.0167960548668645+0.194961777163406i</v>
      </c>
      <c r="AY50" s="87" t="str">
        <f t="shared" si="8"/>
        <v>0.0168960548668645-0.892425363739464i</v>
      </c>
      <c r="AZ50" s="87">
        <f t="shared" si="9"/>
        <v>10.199999999999996</v>
      </c>
      <c r="BA50" s="87">
        <f t="shared" si="10"/>
        <v>0.89258529369219319</v>
      </c>
    </row>
    <row r="51" spans="2:53" x14ac:dyDescent="0.25">
      <c r="B51" s="4"/>
      <c r="D51" s="5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  <c r="Y51" s="143"/>
      <c r="Z51" s="143"/>
      <c r="AA51" s="143"/>
      <c r="AB51" s="143"/>
      <c r="AC51" s="143"/>
      <c r="AD51" s="143"/>
      <c r="AE51" s="143"/>
      <c r="AF51" s="143"/>
      <c r="AG51" s="143"/>
      <c r="AH51" s="143"/>
      <c r="AI51" s="143"/>
      <c r="AJ51" s="143"/>
      <c r="AK51" s="143"/>
      <c r="AO51" s="87">
        <f t="shared" si="11"/>
        <v>10.399999999999995</v>
      </c>
      <c r="AP51" s="126" t="str">
        <f t="shared" si="2"/>
        <v>0.0001-1.06647584973166i</v>
      </c>
      <c r="AQ51" s="105" t="str">
        <f t="shared" si="3"/>
        <v>0.000000001</v>
      </c>
      <c r="AR51" s="105" t="str">
        <f t="shared" si="4"/>
        <v>0.000192558139534884+0.200260465116279i</v>
      </c>
      <c r="AS51" s="93" t="str">
        <f t="shared" si="12"/>
        <v>2.30607627906977+0.0001i</v>
      </c>
      <c r="AU51" s="87" t="str">
        <f t="shared" si="1"/>
        <v>0.000192559139534884+0.200260465116279i</v>
      </c>
      <c r="AV51" s="87" t="str">
        <f t="shared" si="5"/>
        <v>0.000424030017487854+0.461815927496044i</v>
      </c>
      <c r="AW51" s="87" t="str">
        <f t="shared" si="6"/>
        <v>2.3062688382093+0.200360465116279i</v>
      </c>
      <c r="AX51" s="87" t="str">
        <f t="shared" si="7"/>
        <v>0.0174486336185605+0.198727877494303i</v>
      </c>
      <c r="AY51" s="87" t="str">
        <f t="shared" si="8"/>
        <v>0.0175486336185605-0.867747972237357i</v>
      </c>
      <c r="AZ51" s="87">
        <f t="shared" si="9"/>
        <v>10.399999999999995</v>
      </c>
      <c r="BA51" s="87">
        <f t="shared" si="10"/>
        <v>0.86792539878950625</v>
      </c>
    </row>
    <row r="52" spans="2:53" x14ac:dyDescent="0.25">
      <c r="B52" s="4"/>
      <c r="D52" s="5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  <c r="AA52" s="143"/>
      <c r="AB52" s="143"/>
      <c r="AC52" s="143"/>
      <c r="AD52" s="143"/>
      <c r="AE52" s="143"/>
      <c r="AF52" s="143"/>
      <c r="AG52" s="143"/>
      <c r="AH52" s="143"/>
      <c r="AI52" s="143"/>
      <c r="AJ52" s="143"/>
      <c r="AK52" s="143"/>
      <c r="AO52" s="87">
        <f t="shared" si="11"/>
        <v>10.599999999999994</v>
      </c>
      <c r="AP52" s="126" t="str">
        <f t="shared" si="2"/>
        <v>0.0001-1.04635366388767i</v>
      </c>
      <c r="AQ52" s="105" t="str">
        <f t="shared" si="3"/>
        <v>0.000000001</v>
      </c>
      <c r="AR52" s="105" t="str">
        <f t="shared" si="4"/>
        <v>0.000192558139534884+0.204111627906977i</v>
      </c>
      <c r="AS52" s="93" t="str">
        <f t="shared" si="12"/>
        <v>2.30607627906977+0.0001i</v>
      </c>
      <c r="AU52" s="87" t="str">
        <f t="shared" si="1"/>
        <v>0.000192559139534884+0.204111627906977i</v>
      </c>
      <c r="AV52" s="87" t="str">
        <f t="shared" si="5"/>
        <v>0.000423644901208784+0.470697002654509i</v>
      </c>
      <c r="AW52" s="87" t="str">
        <f t="shared" si="6"/>
        <v>2.3062688382093+0.204211627906977i</v>
      </c>
      <c r="AX52" s="87" t="str">
        <f t="shared" si="7"/>
        <v>0.0181135008170722+0.202490710288641i</v>
      </c>
      <c r="AY52" s="87" t="str">
        <f t="shared" si="8"/>
        <v>0.0182135008170722-0.843862953599029i</v>
      </c>
      <c r="AZ52" s="87">
        <f t="shared" si="9"/>
        <v>10.599999999999994</v>
      </c>
      <c r="BA52" s="87">
        <f t="shared" si="10"/>
        <v>0.84405948609614623</v>
      </c>
    </row>
    <row r="53" spans="2:53" x14ac:dyDescent="0.25">
      <c r="B53" s="4"/>
      <c r="D53" s="5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3"/>
      <c r="AO53" s="87">
        <f t="shared" si="11"/>
        <v>10.799999999999994</v>
      </c>
      <c r="AP53" s="126" t="str">
        <f t="shared" si="2"/>
        <v>0.0001-1.02697674418605i</v>
      </c>
      <c r="AQ53" s="105" t="str">
        <f t="shared" si="3"/>
        <v>0.000000001</v>
      </c>
      <c r="AR53" s="105" t="str">
        <f t="shared" si="4"/>
        <v>0.000192558139534884+0.207962790697674i</v>
      </c>
      <c r="AS53" s="93" t="str">
        <f t="shared" si="12"/>
        <v>2.30607627906977+0.0001i</v>
      </c>
      <c r="AU53" s="87" t="str">
        <f t="shared" si="1"/>
        <v>0.000192559139534884+0.207962790697674i</v>
      </c>
      <c r="AV53" s="87" t="str">
        <f t="shared" si="5"/>
        <v>0.000423259784929715+0.479578077812971i</v>
      </c>
      <c r="AW53" s="87" t="str">
        <f t="shared" si="6"/>
        <v>2.3062688382093+0.208062790697674i</v>
      </c>
      <c r="AX53" s="87" t="str">
        <f t="shared" si="7"/>
        <v>0.0187906347166017+0.206250215948019i</v>
      </c>
      <c r="AY53" s="87" t="str">
        <f t="shared" si="8"/>
        <v>0.0188906347166017-0.820726528238031i</v>
      </c>
      <c r="AZ53" s="87">
        <f t="shared" si="9"/>
        <v>10.799999999999994</v>
      </c>
      <c r="BA53" s="87">
        <f t="shared" si="10"/>
        <v>0.82094390200162126</v>
      </c>
    </row>
    <row r="54" spans="2:53" x14ac:dyDescent="0.25">
      <c r="B54" s="4"/>
      <c r="D54" s="5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  <c r="AA54" s="143"/>
      <c r="AB54" s="143"/>
      <c r="AC54" s="143"/>
      <c r="AD54" s="143"/>
      <c r="AE54" s="143"/>
      <c r="AF54" s="143"/>
      <c r="AG54" s="143"/>
      <c r="AH54" s="143"/>
      <c r="AI54" s="143"/>
      <c r="AJ54" s="143"/>
      <c r="AK54" s="143"/>
      <c r="AO54" s="87">
        <f t="shared" si="11"/>
        <v>10.999999999999993</v>
      </c>
      <c r="AP54" s="126" t="str">
        <f t="shared" si="2"/>
        <v>0.0001-1.0083044397463i</v>
      </c>
      <c r="AQ54" s="105" t="str">
        <f t="shared" si="3"/>
        <v>0.000000001</v>
      </c>
      <c r="AR54" s="105" t="str">
        <f t="shared" si="4"/>
        <v>0.000192558139534884+0.211813953488372i</v>
      </c>
      <c r="AS54" s="93" t="str">
        <f t="shared" si="12"/>
        <v>2.30607627906977+0.0001i</v>
      </c>
      <c r="AU54" s="87" t="str">
        <f t="shared" si="1"/>
        <v>0.000192559139534884+0.211813953488372i</v>
      </c>
      <c r="AV54" s="87" t="str">
        <f t="shared" si="5"/>
        <v>0.000422874668650645+0.488459152971436i</v>
      </c>
      <c r="AW54" s="87" t="str">
        <f t="shared" si="6"/>
        <v>2.3062688382093+0.211913953488372i</v>
      </c>
      <c r="AX54" s="87" t="str">
        <f t="shared" si="7"/>
        <v>0.0194800131898339+0.210006335054343i</v>
      </c>
      <c r="AY54" s="87" t="str">
        <f t="shared" si="8"/>
        <v>0.0195800131898339-0.798298104691957i</v>
      </c>
      <c r="AZ54" s="87">
        <f t="shared" si="9"/>
        <v>10.999999999999993</v>
      </c>
      <c r="BA54" s="87">
        <f t="shared" si="10"/>
        <v>0.79853818998923576</v>
      </c>
    </row>
    <row r="55" spans="2:53" x14ac:dyDescent="0.25"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O55" s="87">
        <f t="shared" si="11"/>
        <v>11.199999999999992</v>
      </c>
      <c r="AP55" s="126" t="str">
        <f t="shared" si="2"/>
        <v>0.0001-0.99029900332226i</v>
      </c>
      <c r="AQ55" s="105" t="str">
        <f t="shared" si="3"/>
        <v>0.000000001</v>
      </c>
      <c r="AR55" s="105" t="str">
        <f t="shared" si="4"/>
        <v>0.000192558139534884+0.21566511627907i</v>
      </c>
      <c r="AS55" s="93" t="str">
        <f t="shared" si="12"/>
        <v>2.30607627906977+0.0001i</v>
      </c>
      <c r="AU55" s="87" t="str">
        <f t="shared" si="1"/>
        <v>0.000192559139534884+0.21566511627907i</v>
      </c>
      <c r="AV55" s="87" t="str">
        <f t="shared" si="5"/>
        <v>0.000422489552371575+0.497340228129901i</v>
      </c>
      <c r="AW55" s="87" t="str">
        <f t="shared" si="6"/>
        <v>2.3062688382093+0.21576511627907i</v>
      </c>
      <c r="AX55" s="87" t="str">
        <f t="shared" si="7"/>
        <v>0.0201816137297228+0.213759008372843i</v>
      </c>
      <c r="AY55" s="87" t="str">
        <f t="shared" si="8"/>
        <v>0.0202816137297228-0.776539994949417i</v>
      </c>
      <c r="AZ55" s="87">
        <f t="shared" si="9"/>
        <v>11.199999999999992</v>
      </c>
      <c r="BA55" s="87">
        <f t="shared" si="10"/>
        <v>0.7768048066351817</v>
      </c>
    </row>
    <row r="56" spans="2:53" x14ac:dyDescent="0.25"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  <c r="Y56" s="143"/>
      <c r="Z56" s="143"/>
      <c r="AA56" s="143"/>
      <c r="AB56" s="143"/>
      <c r="AC56" s="143"/>
      <c r="AD56" s="143"/>
      <c r="AE56" s="143"/>
      <c r="AF56" s="143"/>
      <c r="AG56" s="143"/>
      <c r="AH56" s="143"/>
      <c r="AI56" s="143"/>
      <c r="AJ56" s="143"/>
      <c r="AK56" s="143"/>
      <c r="AO56" s="87">
        <f t="shared" si="11"/>
        <v>11.399999999999991</v>
      </c>
      <c r="AP56" s="126" t="str">
        <f t="shared" si="2"/>
        <v>0.0001-0.972925336597308i</v>
      </c>
      <c r="AQ56" s="105" t="str">
        <f t="shared" si="3"/>
        <v>0.000000001</v>
      </c>
      <c r="AR56" s="105" t="str">
        <f t="shared" si="4"/>
        <v>0.000192558139534884+0.219516279069767i</v>
      </c>
      <c r="AS56" s="93" t="str">
        <f t="shared" si="12"/>
        <v>2.30607627906977+0.0001i</v>
      </c>
      <c r="AU56" s="87" t="str">
        <f t="shared" si="1"/>
        <v>0.000192559139534884+0.219516279069767i</v>
      </c>
      <c r="AV56" s="87" t="str">
        <f t="shared" si="5"/>
        <v>0.000422104436092505+0.506221303288363i</v>
      </c>
      <c r="AW56" s="87" t="str">
        <f t="shared" si="6"/>
        <v>2.3062688382093+0.219616279069767i</v>
      </c>
      <c r="AX56" s="87" t="str">
        <f t="shared" si="7"/>
        <v>0.0208954134513082+0.217508176855069i</v>
      </c>
      <c r="AY56" s="87" t="str">
        <f t="shared" si="8"/>
        <v>0.0209954134513082-0.755417159742239i</v>
      </c>
      <c r="AZ56" s="87">
        <f t="shared" si="9"/>
        <v>11.399999999999991</v>
      </c>
      <c r="BA56" s="87">
        <f t="shared" si="10"/>
        <v>0.75570886763291512</v>
      </c>
    </row>
    <row r="57" spans="2:53" x14ac:dyDescent="0.25"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  <c r="Y57" s="143"/>
      <c r="Z57" s="143"/>
      <c r="AA57" s="143"/>
      <c r="AB57" s="143"/>
      <c r="AC57" s="143"/>
      <c r="AD57" s="143"/>
      <c r="AE57" s="143"/>
      <c r="AF57" s="143"/>
      <c r="AG57" s="143"/>
      <c r="AH57" s="143"/>
      <c r="AI57" s="143"/>
      <c r="AJ57" s="143"/>
      <c r="AK57" s="143"/>
      <c r="AO57" s="87">
        <f t="shared" si="11"/>
        <v>11.599999999999991</v>
      </c>
      <c r="AP57" s="126" t="str">
        <f t="shared" si="2"/>
        <v>0.0001-0.956150761828389i</v>
      </c>
      <c r="AQ57" s="105" t="str">
        <f t="shared" si="3"/>
        <v>0.000000001</v>
      </c>
      <c r="AR57" s="105" t="str">
        <f t="shared" si="4"/>
        <v>0.000192558139534884+0.223367441860465i</v>
      </c>
      <c r="AS57" s="93" t="str">
        <f t="shared" si="12"/>
        <v>2.30607627906977+0.0001i</v>
      </c>
      <c r="AU57" s="87" t="str">
        <f t="shared" si="1"/>
        <v>0.000192559139534884+0.223367441860465i</v>
      </c>
      <c r="AV57" s="87" t="str">
        <f t="shared" si="5"/>
        <v>0.000421719319813435+0.515102378446828i</v>
      </c>
      <c r="AW57" s="87" t="str">
        <f t="shared" si="6"/>
        <v>2.3062688382093+0.223467441860465i</v>
      </c>
      <c r="AX57" s="87" t="str">
        <f t="shared" si="7"/>
        <v>0.0216213890935605+0.221253781641875i</v>
      </c>
      <c r="AY57" s="87" t="str">
        <f t="shared" si="8"/>
        <v>0.0217213890935605-0.734896980186514i</v>
      </c>
      <c r="AZ57" s="87">
        <f t="shared" si="9"/>
        <v>11.599999999999991</v>
      </c>
      <c r="BA57" s="87">
        <f t="shared" si="10"/>
        <v>0.73521792023277777</v>
      </c>
    </row>
    <row r="58" spans="2:53" x14ac:dyDescent="0.25"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  <c r="Z58" s="143"/>
      <c r="AA58" s="143"/>
      <c r="AB58" s="143"/>
      <c r="AC58" s="143"/>
      <c r="AD58" s="143"/>
      <c r="AE58" s="143"/>
      <c r="AF58" s="143"/>
      <c r="AG58" s="143"/>
      <c r="AH58" s="143"/>
      <c r="AI58" s="143"/>
      <c r="AJ58" s="143"/>
      <c r="AK58" s="143"/>
      <c r="AO58" s="87">
        <f t="shared" si="11"/>
        <v>11.79999999999999</v>
      </c>
      <c r="AP58" s="126" t="str">
        <f t="shared" si="2"/>
        <v>0.0001-0.939944816712654i</v>
      </c>
      <c r="AQ58" s="105" t="str">
        <f t="shared" si="3"/>
        <v>0.000000001</v>
      </c>
      <c r="AR58" s="105" t="str">
        <f t="shared" si="4"/>
        <v>0.000192558139534884+0.227218604651163i</v>
      </c>
      <c r="AS58" s="93" t="str">
        <f t="shared" si="12"/>
        <v>2.30607627906977+0.0001i</v>
      </c>
      <c r="AU58" s="87" t="str">
        <f t="shared" si="1"/>
        <v>0.000192559139534884+0.227218604651163i</v>
      </c>
      <c r="AV58" s="87" t="str">
        <f t="shared" si="5"/>
        <v>0.000421334203534366+0.523983453605293i</v>
      </c>
      <c r="AW58" s="87" t="str">
        <f t="shared" si="6"/>
        <v>2.3062688382093+0.227318604651163i</v>
      </c>
      <c r="AX58" s="87" t="str">
        <f t="shared" si="7"/>
        <v>0.0223595170212514+0.224995764066364i</v>
      </c>
      <c r="AY58" s="87" t="str">
        <f t="shared" si="8"/>
        <v>0.0224595170212514-0.71494905264629i</v>
      </c>
      <c r="AZ58" s="87">
        <f t="shared" si="9"/>
        <v>11.79999999999999</v>
      </c>
      <c r="BA58" s="87">
        <f t="shared" si="10"/>
        <v>0.71530173897779359</v>
      </c>
    </row>
    <row r="59" spans="2:53" x14ac:dyDescent="0.25"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  <c r="Y59" s="143"/>
      <c r="Z59" s="143"/>
      <c r="AA59" s="143"/>
      <c r="AB59" s="143"/>
      <c r="AC59" s="143"/>
      <c r="AD59" s="143"/>
      <c r="AE59" s="143"/>
      <c r="AF59" s="143"/>
      <c r="AG59" s="143"/>
      <c r="AH59" s="143"/>
      <c r="AI59" s="143"/>
      <c r="AJ59" s="143"/>
      <c r="AK59" s="143"/>
      <c r="AO59" s="87">
        <f t="shared" si="11"/>
        <v>11.999999999999989</v>
      </c>
      <c r="AP59" s="126" t="str">
        <f t="shared" si="2"/>
        <v>0.0001-0.924279069767443i</v>
      </c>
      <c r="AQ59" s="105" t="str">
        <f t="shared" si="3"/>
        <v>0.000000001</v>
      </c>
      <c r="AR59" s="105" t="str">
        <f t="shared" si="4"/>
        <v>0.000192558139534884+0.23106976744186i</v>
      </c>
      <c r="AS59" s="93" t="str">
        <f t="shared" si="12"/>
        <v>2.30607627906977+0.0001i</v>
      </c>
      <c r="AU59" s="87" t="str">
        <f t="shared" si="1"/>
        <v>0.000192559139534884+0.23106976744186i</v>
      </c>
      <c r="AV59" s="87" t="str">
        <f t="shared" si="5"/>
        <v>0.000420949087255296+0.532864528763756i</v>
      </c>
      <c r="AW59" s="87" t="str">
        <f t="shared" si="6"/>
        <v>2.3062688382093+0.23116976744186i</v>
      </c>
      <c r="AX59" s="87" t="str">
        <f t="shared" si="7"/>
        <v>0.0231097732268536+0.228734065656831i</v>
      </c>
      <c r="AY59" s="87" t="str">
        <f t="shared" si="8"/>
        <v>0.0232097732268536-0.695545004110612i</v>
      </c>
      <c r="AZ59" s="87">
        <f t="shared" si="9"/>
        <v>11.999999999999989</v>
      </c>
      <c r="BA59" s="87">
        <f t="shared" si="10"/>
        <v>0.6959321420343173</v>
      </c>
    </row>
    <row r="60" spans="2:53" s="87" customFormat="1" ht="34.5" customHeight="1" x14ac:dyDescent="0.25">
      <c r="B60" s="109"/>
      <c r="C60" s="101"/>
      <c r="D60" s="108"/>
      <c r="E60" s="101"/>
      <c r="AO60" s="87">
        <f t="shared" si="11"/>
        <v>12.199999999999989</v>
      </c>
      <c r="AP60" s="126" t="str">
        <f t="shared" si="2"/>
        <v>0.0001-0.909126953869616i</v>
      </c>
      <c r="AQ60" s="105" t="str">
        <f t="shared" si="3"/>
        <v>0.000000001</v>
      </c>
      <c r="AR60" s="105" t="str">
        <f t="shared" si="4"/>
        <v>0.000192558139534884+0.234920930232558i</v>
      </c>
      <c r="AS60" s="93" t="str">
        <f t="shared" si="12"/>
        <v>2.30607627906977+0.0001i</v>
      </c>
      <c r="AU60" s="87" t="str">
        <f t="shared" si="1"/>
        <v>0.000192559139534884+0.234920930232558i</v>
      </c>
      <c r="AV60" s="87" t="str">
        <f t="shared" si="5"/>
        <v>0.000420563970976226+0.54174560392222i</v>
      </c>
      <c r="AW60" s="87" t="str">
        <f t="shared" si="6"/>
        <v>2.3062688382093+0.235020930232558i</v>
      </c>
      <c r="AX60" s="87" t="str">
        <f t="shared" si="7"/>
        <v>0.0238721333324679+0.232468628139671i</v>
      </c>
      <c r="AY60" s="87" t="str">
        <f t="shared" si="8"/>
        <v>0.0239721333324679-0.676658325729945i</v>
      </c>
      <c r="AZ60" s="87">
        <f t="shared" si="9"/>
        <v>12.199999999999989</v>
      </c>
      <c r="BA60" s="87">
        <f t="shared" si="10"/>
        <v>0.67708282577256529</v>
      </c>
    </row>
    <row r="61" spans="2:53" s="87" customFormat="1" ht="36" customHeight="1" x14ac:dyDescent="0.55000000000000004">
      <c r="B61" s="118" t="s">
        <v>45</v>
      </c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AO61" s="87">
        <f t="shared" si="11"/>
        <v>12.399999999999988</v>
      </c>
      <c r="AP61" s="126" t="str">
        <f t="shared" si="2"/>
        <v>0.0001-0.894463615903977i</v>
      </c>
      <c r="AQ61" s="105" t="str">
        <f t="shared" si="3"/>
        <v>0.000000001</v>
      </c>
      <c r="AR61" s="105" t="str">
        <f t="shared" si="4"/>
        <v>0.000192558139534884+0.238772093023256i</v>
      </c>
      <c r="AS61" s="93" t="str">
        <f t="shared" si="12"/>
        <v>2.30607627906977+0.0001i</v>
      </c>
      <c r="AU61" s="87" t="str">
        <f t="shared" si="1"/>
        <v>0.000192559139534884+0.238772093023256i</v>
      </c>
      <c r="AV61" s="87" t="str">
        <f t="shared" si="5"/>
        <v>0.000420178854697156+0.550626679080685i</v>
      </c>
      <c r="AW61" s="87" t="str">
        <f t="shared" si="6"/>
        <v>2.3062688382093+0.238872093023256i</v>
      </c>
      <c r="AX61" s="87" t="str">
        <f t="shared" si="7"/>
        <v>0.0246465725917754+0.236199393442267i</v>
      </c>
      <c r="AY61" s="87" t="str">
        <f t="shared" si="8"/>
        <v>0.0247465725917754-0.65826422246171i</v>
      </c>
      <c r="AZ61" s="87">
        <f t="shared" si="9"/>
        <v>12.399999999999988</v>
      </c>
      <c r="BA61" s="87">
        <f t="shared" si="10"/>
        <v>0.6587292155568627</v>
      </c>
    </row>
    <row r="62" spans="2:53" s="87" customFormat="1" ht="19.5" customHeight="1" x14ac:dyDescent="0.4">
      <c r="B62" s="175" t="str">
        <f>"High-Pass Design - Stage/Branch: "&amp;I9&amp;", Tuning Point: "&amp;FIXED(D10,2)&amp;", Reference: "&amp;I8</f>
        <v>High-Pass Design - Stage/Branch: Branch/Stage #, Tuning Point: 24.00, Reference: Enter Job Name</v>
      </c>
      <c r="C62" s="120"/>
      <c r="D62" s="120"/>
      <c r="E62" s="120"/>
      <c r="F62" s="120"/>
      <c r="G62" s="174"/>
      <c r="H62" s="174"/>
      <c r="I62" s="174"/>
      <c r="J62" s="174"/>
      <c r="K62" s="174"/>
      <c r="L62" s="137" t="s">
        <v>171</v>
      </c>
      <c r="AO62" s="87">
        <f t="shared" si="11"/>
        <v>12.599999999999987</v>
      </c>
      <c r="AP62" s="126" t="str">
        <f t="shared" si="2"/>
        <v>0.0001-0.880265780730898i</v>
      </c>
      <c r="AQ62" s="105" t="str">
        <f t="shared" si="3"/>
        <v>0.000000001</v>
      </c>
      <c r="AR62" s="105" t="str">
        <f t="shared" si="4"/>
        <v>0.000192558139534884+0.242623255813953i</v>
      </c>
      <c r="AS62" s="93" t="str">
        <f t="shared" si="12"/>
        <v>2.30607627906977+0.0001i</v>
      </c>
      <c r="AU62" s="87" t="str">
        <f t="shared" si="1"/>
        <v>0.000192559139534884+0.242623255813953i</v>
      </c>
      <c r="AV62" s="87" t="str">
        <f t="shared" si="5"/>
        <v>0.000419793738418087+0.559507754239148i</v>
      </c>
      <c r="AW62" s="87" t="str">
        <f t="shared" si="6"/>
        <v>2.3062688382093+0.242723255813953i</v>
      </c>
      <c r="AX62" s="87" t="str">
        <f t="shared" si="7"/>
        <v>0.025433065892018+0.239926303695862i</v>
      </c>
      <c r="AY62" s="87" t="str">
        <f t="shared" si="8"/>
        <v>0.025533065892018-0.640339477035036i</v>
      </c>
      <c r="AZ62" s="87">
        <f t="shared" si="9"/>
        <v>12.599999999999987</v>
      </c>
      <c r="BA62" s="87">
        <f t="shared" si="10"/>
        <v>0.6408483309671249</v>
      </c>
    </row>
    <row r="63" spans="2:53" x14ac:dyDescent="0.25"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  <c r="Y63" s="143"/>
      <c r="Z63" s="143"/>
      <c r="AA63" s="143"/>
      <c r="AB63" s="143"/>
      <c r="AC63" s="143"/>
      <c r="AD63" s="143"/>
      <c r="AE63" s="143"/>
      <c r="AF63" s="143"/>
      <c r="AG63" s="143"/>
      <c r="AH63" s="143"/>
      <c r="AI63" s="143"/>
      <c r="AJ63" s="143"/>
      <c r="AK63" s="143"/>
      <c r="AO63" s="87">
        <f t="shared" si="11"/>
        <v>12.799999999999986</v>
      </c>
      <c r="AP63" s="126" t="str">
        <f t="shared" si="2"/>
        <v>0.0001-0.866511627906978i</v>
      </c>
      <c r="AQ63" s="105" t="str">
        <f t="shared" si="3"/>
        <v>0.000000001</v>
      </c>
      <c r="AR63" s="105" t="str">
        <f t="shared" si="4"/>
        <v>0.000192558139534884+0.246474418604651i</v>
      </c>
      <c r="AS63" s="93" t="str">
        <f t="shared" si="12"/>
        <v>2.30607627906977+0.0001i</v>
      </c>
      <c r="AU63" s="87" t="str">
        <f t="shared" si="1"/>
        <v>0.000192559139534884+0.246474418604651i</v>
      </c>
      <c r="AV63" s="87" t="str">
        <f t="shared" si="5"/>
        <v>0.000419408622139017+0.568388829397612i</v>
      </c>
      <c r="AW63" s="87" t="str">
        <f t="shared" si="6"/>
        <v>2.3062688382093+0.246574418604651i</v>
      </c>
      <c r="AX63" s="87" t="str">
        <f t="shared" si="7"/>
        <v>0.0262315877560053+0.243649301238402i</v>
      </c>
      <c r="AY63" s="87" t="str">
        <f t="shared" si="8"/>
        <v>0.0263315877560053-0.622862326668576i</v>
      </c>
      <c r="AZ63" s="87">
        <f t="shared" si="9"/>
        <v>12.799999999999986</v>
      </c>
      <c r="BA63" s="87">
        <f t="shared" si="10"/>
        <v>0.62341866389830203</v>
      </c>
    </row>
    <row r="64" spans="2:53" x14ac:dyDescent="0.25"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  <c r="Y64" s="143"/>
      <c r="Z64" s="143"/>
      <c r="AA64" s="143"/>
      <c r="AB64" s="143"/>
      <c r="AC64" s="143"/>
      <c r="AD64" s="143"/>
      <c r="AE64" s="143"/>
      <c r="AF64" s="143"/>
      <c r="AG64" s="143"/>
      <c r="AH64" s="143"/>
      <c r="AI64" s="143"/>
      <c r="AJ64" s="143"/>
      <c r="AK64" s="143"/>
      <c r="AO64" s="87">
        <f t="shared" si="11"/>
        <v>12.999999999999986</v>
      </c>
      <c r="AP64" s="126" t="str">
        <f t="shared" si="2"/>
        <v>0.0001-0.853180679785332i</v>
      </c>
      <c r="AQ64" s="105" t="str">
        <f t="shared" si="3"/>
        <v>0.000000001</v>
      </c>
      <c r="AR64" s="105" t="str">
        <f t="shared" si="4"/>
        <v>0.000192558139534884+0.250325581395349i</v>
      </c>
      <c r="AS64" s="93" t="str">
        <f t="shared" si="12"/>
        <v>2.30607627906977+0.0001i</v>
      </c>
      <c r="AU64" s="87" t="str">
        <f t="shared" si="1"/>
        <v>0.000192559139534884+0.250325581395349i</v>
      </c>
      <c r="AV64" s="87" t="str">
        <f t="shared" si="5"/>
        <v>0.000419023505859947+0.577269904556077i</v>
      </c>
      <c r="AW64" s="87" t="str">
        <f t="shared" si="6"/>
        <v>2.3062688382093+0.250425581395349i</v>
      </c>
      <c r="AX64" s="87" t="str">
        <f t="shared" si="7"/>
        <v>0.0270421123441456+0.24736832861736i</v>
      </c>
      <c r="AY64" s="87" t="str">
        <f t="shared" si="8"/>
        <v>0.0271421123441456-0.605812351167972i</v>
      </c>
      <c r="AZ64" s="87">
        <f t="shared" si="9"/>
        <v>12.999999999999986</v>
      </c>
      <c r="BA64" s="87">
        <f t="shared" si="10"/>
        <v>0.60642006817895511</v>
      </c>
    </row>
    <row r="65" spans="2:53" x14ac:dyDescent="0.25"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  <c r="Y65" s="143"/>
      <c r="Z65" s="143"/>
      <c r="AA65" s="143"/>
      <c r="AB65" s="143"/>
      <c r="AC65" s="143"/>
      <c r="AD65" s="143"/>
      <c r="AE65" s="143"/>
      <c r="AF65" s="143"/>
      <c r="AG65" s="143"/>
      <c r="AH65" s="143"/>
      <c r="AI65" s="143"/>
      <c r="AJ65" s="143"/>
      <c r="AK65" s="143"/>
      <c r="AO65" s="87">
        <f t="shared" si="11"/>
        <v>13.199999999999985</v>
      </c>
      <c r="AP65" s="126" t="str">
        <f t="shared" si="2"/>
        <v>0.0001-0.840253699788585i</v>
      </c>
      <c r="AQ65" s="105" t="str">
        <f t="shared" si="3"/>
        <v>0.000000001</v>
      </c>
      <c r="AR65" s="105" t="str">
        <f t="shared" si="4"/>
        <v>0.000192558139534884+0.254176744186046i</v>
      </c>
      <c r="AS65" s="93" t="str">
        <f t="shared" si="12"/>
        <v>2.30607627906977+0.0001i</v>
      </c>
      <c r="AU65" s="87" t="str">
        <f t="shared" si="1"/>
        <v>0.000192559139534884+0.254176744186046i</v>
      </c>
      <c r="AV65" s="87" t="str">
        <f t="shared" si="5"/>
        <v>0.000418638389580877+0.58615097971454i</v>
      </c>
      <c r="AW65" s="87" t="str">
        <f t="shared" si="6"/>
        <v>2.3062688382093+0.254276744186046i</v>
      </c>
      <c r="AX65" s="87" t="str">
        <f t="shared" si="7"/>
        <v>0.0278646134565048+0.25108332859253i</v>
      </c>
      <c r="AY65" s="87" t="str">
        <f t="shared" si="8"/>
        <v>0.0279646134565048-0.589170371196055i</v>
      </c>
      <c r="AZ65" s="87">
        <f t="shared" si="9"/>
        <v>13.199999999999985</v>
      </c>
      <c r="BA65" s="87">
        <f t="shared" si="10"/>
        <v>0.58983365951857047</v>
      </c>
    </row>
    <row r="66" spans="2:53" x14ac:dyDescent="0.25">
      <c r="B66" s="4"/>
      <c r="D66" s="7"/>
      <c r="E66" s="7"/>
      <c r="F66" s="7"/>
      <c r="G66" s="7"/>
      <c r="H66" s="7"/>
      <c r="I66" s="7"/>
      <c r="J66" s="7"/>
      <c r="K66" s="7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  <c r="Y66" s="143"/>
      <c r="Z66" s="143"/>
      <c r="AA66" s="143"/>
      <c r="AB66" s="143"/>
      <c r="AC66" s="143"/>
      <c r="AD66" s="143"/>
      <c r="AE66" s="143"/>
      <c r="AF66" s="143"/>
      <c r="AG66" s="143"/>
      <c r="AH66" s="143"/>
      <c r="AI66" s="143"/>
      <c r="AJ66" s="143"/>
      <c r="AK66" s="143"/>
      <c r="AO66" s="87">
        <f t="shared" si="11"/>
        <v>13.399999999999984</v>
      </c>
      <c r="AP66" s="126" t="str">
        <f t="shared" si="2"/>
        <v>0.0001-0.82771259979174i</v>
      </c>
      <c r="AQ66" s="105" t="str">
        <f t="shared" si="3"/>
        <v>0.000000001</v>
      </c>
      <c r="AR66" s="105" t="str">
        <f t="shared" si="4"/>
        <v>0.000192558139534884+0.258027906976744i</v>
      </c>
      <c r="AS66" s="93" t="str">
        <f t="shared" si="12"/>
        <v>2.30607627906977+0.0001i</v>
      </c>
      <c r="AU66" s="87" t="str">
        <f t="shared" si="1"/>
        <v>0.000192559139534884+0.258027906976744i</v>
      </c>
      <c r="AV66" s="87" t="str">
        <f t="shared" si="5"/>
        <v>0.000418253273301808+0.595032054873004i</v>
      </c>
      <c r="AW66" s="87" t="str">
        <f t="shared" si="6"/>
        <v>2.3062688382093+0.258127906976744i</v>
      </c>
      <c r="AX66" s="87" t="str">
        <f t="shared" si="7"/>
        <v>0.0286990645348896+0.254794244138807i</v>
      </c>
      <c r="AY66" s="87" t="str">
        <f t="shared" si="8"/>
        <v>0.0287990645348896-0.572918355652933i</v>
      </c>
      <c r="AZ66" s="87">
        <f t="shared" si="9"/>
        <v>13.399999999999984</v>
      </c>
      <c r="BA66" s="87">
        <f t="shared" si="10"/>
        <v>0.57364172473953234</v>
      </c>
    </row>
    <row r="67" spans="2:53" x14ac:dyDescent="0.25">
      <c r="F67" s="7"/>
      <c r="G67" s="7"/>
      <c r="H67" s="7"/>
      <c r="I67" s="7"/>
      <c r="J67" s="7"/>
      <c r="K67" s="7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  <c r="Y67" s="143"/>
      <c r="Z67" s="143"/>
      <c r="AA67" s="143"/>
      <c r="AB67" s="143"/>
      <c r="AC67" s="143"/>
      <c r="AD67" s="143"/>
      <c r="AE67" s="143"/>
      <c r="AF67" s="143"/>
      <c r="AG67" s="143"/>
      <c r="AH67" s="143"/>
      <c r="AI67" s="143"/>
      <c r="AJ67" s="143"/>
      <c r="AK67" s="143"/>
      <c r="AO67" s="87">
        <f t="shared" si="11"/>
        <v>13.599999999999984</v>
      </c>
      <c r="AP67" s="126" t="str">
        <f t="shared" si="2"/>
        <v>0.0001-0.815540355677156i</v>
      </c>
      <c r="AQ67" s="105" t="str">
        <f t="shared" si="3"/>
        <v>0.000000001</v>
      </c>
      <c r="AR67" s="105" t="str">
        <f t="shared" si="4"/>
        <v>0.000192558139534884+0.261879069767442i</v>
      </c>
      <c r="AS67" s="93" t="str">
        <f t="shared" si="12"/>
        <v>2.30607627906977+0.0001i</v>
      </c>
      <c r="AU67" s="87" t="str">
        <f t="shared" si="1"/>
        <v>0.000192559139534884+0.261879069767442i</v>
      </c>
      <c r="AV67" s="87" t="str">
        <f t="shared" si="5"/>
        <v>0.000417868157022738+0.603913130031469i</v>
      </c>
      <c r="AW67" s="87" t="str">
        <f t="shared" si="6"/>
        <v>2.3062688382093+0.261979069767442i</v>
      </c>
      <c r="AX67" s="87" t="str">
        <f t="shared" si="7"/>
        <v>0.0295454386649558+0.258501018448938i</v>
      </c>
      <c r="AY67" s="87" t="str">
        <f t="shared" si="8"/>
        <v>0.0296454386649558-0.557039337228218i</v>
      </c>
      <c r="AZ67" s="87">
        <f t="shared" si="9"/>
        <v>13.599999999999984</v>
      </c>
      <c r="BA67" s="87">
        <f t="shared" si="10"/>
        <v>0.55782763937733493</v>
      </c>
    </row>
    <row r="68" spans="2:53" x14ac:dyDescent="0.25">
      <c r="N68" s="143"/>
      <c r="O68" s="143"/>
      <c r="P68" s="143"/>
      <c r="Q68" s="143"/>
      <c r="R68" s="143"/>
      <c r="S68" s="143"/>
      <c r="T68" s="143"/>
      <c r="U68" s="143"/>
      <c r="V68" s="143"/>
      <c r="W68" s="143"/>
      <c r="X68" s="143"/>
      <c r="Y68" s="143"/>
      <c r="Z68" s="143"/>
      <c r="AA68" s="143"/>
      <c r="AB68" s="143"/>
      <c r="AC68" s="143"/>
      <c r="AD68" s="143"/>
      <c r="AE68" s="143"/>
      <c r="AF68" s="143"/>
      <c r="AG68" s="143"/>
      <c r="AH68" s="143"/>
      <c r="AI68" s="143"/>
      <c r="AJ68" s="143"/>
      <c r="AK68" s="143"/>
      <c r="AN68" t="s">
        <v>0</v>
      </c>
      <c r="AO68" s="87">
        <f t="shared" si="11"/>
        <v>13.799999999999983</v>
      </c>
      <c r="AP68" s="126" t="str">
        <f t="shared" si="2"/>
        <v>0.0001-0.803720930232559i</v>
      </c>
      <c r="AQ68" s="105" t="str">
        <f t="shared" si="3"/>
        <v>0.000000001</v>
      </c>
      <c r="AR68" s="105" t="str">
        <f t="shared" si="4"/>
        <v>0.000192558139534884+0.265730232558139i</v>
      </c>
      <c r="AS68" s="93" t="str">
        <f t="shared" si="12"/>
        <v>2.30607627906977+0.0001i</v>
      </c>
      <c r="AU68" s="87" t="str">
        <f t="shared" ref="AU68:AU131" si="13">IMSUM(AR68,AQ68)</f>
        <v>0.000192559139534884+0.265730232558139i</v>
      </c>
      <c r="AV68" s="87" t="str">
        <f t="shared" si="5"/>
        <v>0.000417483040743668+0.612794205189932i</v>
      </c>
      <c r="AW68" s="87" t="str">
        <f t="shared" si="6"/>
        <v>2.3062688382093+0.265830232558139i</v>
      </c>
      <c r="AX68" s="87" t="str">
        <f t="shared" si="7"/>
        <v>0.0304037085783418+0.262203594936248i</v>
      </c>
      <c r="AY68" s="87" t="str">
        <f t="shared" si="8"/>
        <v>0.0305037085783418-0.541517335296311i</v>
      </c>
      <c r="AZ68" s="87">
        <f t="shared" si="9"/>
        <v>13.799999999999983</v>
      </c>
      <c r="BA68" s="87">
        <f t="shared" si="10"/>
        <v>0.54237579284426929</v>
      </c>
    </row>
    <row r="69" spans="2:53" x14ac:dyDescent="0.25"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  <c r="Y69" s="143"/>
      <c r="Z69" s="143"/>
      <c r="AA69" s="143"/>
      <c r="AB69" s="143"/>
      <c r="AC69" s="143"/>
      <c r="AD69" s="143"/>
      <c r="AE69" s="143"/>
      <c r="AF69" s="143"/>
      <c r="AG69" s="143"/>
      <c r="AH69" s="143"/>
      <c r="AI69" s="143"/>
      <c r="AJ69" s="143"/>
      <c r="AK69" s="143"/>
      <c r="AO69" s="87">
        <f t="shared" si="11"/>
        <v>13.999999999999982</v>
      </c>
      <c r="AP69" s="126" t="str">
        <f t="shared" ref="AP69:AP132" si="14">COMPLEX(0.0001,-1*$D$22/AO69)</f>
        <v>0.0001-0.792239202657808i</v>
      </c>
      <c r="AQ69" s="105" t="str">
        <f t="shared" ref="AQ69:AQ132" si="15">COMPLEX(0.000000001,-1*$D$23/AO69)</f>
        <v>0.000000001</v>
      </c>
      <c r="AR69" s="105" t="str">
        <f t="shared" ref="AR69:AR132" si="16">COMPLEX($D$24/$D$26,$D$24*AO69)</f>
        <v>0.000192558139534884+0.269581395348837i</v>
      </c>
      <c r="AS69" s="93" t="str">
        <f t="shared" si="12"/>
        <v>2.30607627906977+0.0001i</v>
      </c>
      <c r="AU69" s="87" t="str">
        <f t="shared" si="13"/>
        <v>0.000192559139534884+0.269581395348837i</v>
      </c>
      <c r="AV69" s="87" t="str">
        <f t="shared" ref="AV69:AV132" si="17">IMPRODUCT(AU69,AS69)</f>
        <v>0.000417097924464598+0.621675280348397i</v>
      </c>
      <c r="AW69" s="87" t="str">
        <f t="shared" ref="AW69:AW132" si="18">IMSUM(AS69,AU69)</f>
        <v>2.3062688382093+0.269681395348837i</v>
      </c>
      <c r="AX69" s="87" t="str">
        <f t="shared" ref="AX69:AX132" si="19">IMDIV(AV69,AW69)</f>
        <v>0.0312738466548267+0.265901917237345i</v>
      </c>
      <c r="AY69" s="87" t="str">
        <f t="shared" ref="AY69:AY132" si="20">IMSUM(AX69,AP69)</f>
        <v>0.0313738466548267-0.526337285420463i</v>
      </c>
      <c r="AZ69" s="87">
        <f t="shared" ref="AZ69:AZ132" si="21">AO69</f>
        <v>13.999999999999982</v>
      </c>
      <c r="BA69" s="87">
        <f t="shared" ref="BA69:BA132" si="22">IMABS(AY69)</f>
        <v>0.52727152045004533</v>
      </c>
    </row>
    <row r="70" spans="2:53" x14ac:dyDescent="0.25"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3"/>
      <c r="AO70" s="87">
        <f t="shared" ref="AO70:AO133" si="23">AO69+0.2</f>
        <v>14.199999999999982</v>
      </c>
      <c r="AP70" s="126" t="str">
        <f t="shared" si="14"/>
        <v>0.0001-0.781080904028825i</v>
      </c>
      <c r="AQ70" s="105" t="str">
        <f t="shared" si="15"/>
        <v>0.000000001</v>
      </c>
      <c r="AR70" s="105" t="str">
        <f t="shared" si="16"/>
        <v>0.000192558139534884+0.273432558139535i</v>
      </c>
      <c r="AS70" s="93" t="str">
        <f t="shared" si="12"/>
        <v>2.30607627906977+0.0001i</v>
      </c>
      <c r="AU70" s="87" t="str">
        <f t="shared" si="13"/>
        <v>0.000192559139534884+0.273432558139535i</v>
      </c>
      <c r="AV70" s="87" t="str">
        <f t="shared" si="17"/>
        <v>0.000416712808185528+0.630556355506861i</v>
      </c>
      <c r="AW70" s="87" t="str">
        <f t="shared" si="18"/>
        <v>2.3062688382093+0.273532558139535i</v>
      </c>
      <c r="AX70" s="87" t="str">
        <f t="shared" si="19"/>
        <v>0.0321558249245114+0.2695959292148i</v>
      </c>
      <c r="AY70" s="87" t="str">
        <f t="shared" si="20"/>
        <v>0.0322558249245114-0.511484974814025i</v>
      </c>
      <c r="AZ70" s="87">
        <f t="shared" si="21"/>
        <v>14.199999999999982</v>
      </c>
      <c r="BA70" s="87">
        <f t="shared" si="22"/>
        <v>0.51250104165949217</v>
      </c>
    </row>
    <row r="71" spans="2:53" x14ac:dyDescent="0.25">
      <c r="B71" s="4" t="s">
        <v>31</v>
      </c>
      <c r="D71" s="138">
        <v>1</v>
      </c>
      <c r="E71" s="98">
        <v>2</v>
      </c>
      <c r="F71" s="98">
        <v>3</v>
      </c>
      <c r="G71" s="98">
        <v>4</v>
      </c>
      <c r="H71" s="98">
        <v>5</v>
      </c>
      <c r="I71" s="98">
        <v>7</v>
      </c>
      <c r="J71" s="98">
        <v>11</v>
      </c>
      <c r="K71" s="98">
        <v>13</v>
      </c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  <c r="Y71" s="143"/>
      <c r="Z71" s="143"/>
      <c r="AA71" s="143"/>
      <c r="AB71" s="143"/>
      <c r="AC71" s="143"/>
      <c r="AD71" s="143"/>
      <c r="AE71" s="143"/>
      <c r="AF71" s="143"/>
      <c r="AG71" s="143"/>
      <c r="AH71" s="143"/>
      <c r="AI71" s="143"/>
      <c r="AJ71" s="143"/>
      <c r="AK71" s="143"/>
      <c r="AO71" s="87">
        <f t="shared" si="23"/>
        <v>14.399999999999981</v>
      </c>
      <c r="AP71" s="126" t="str">
        <f t="shared" si="14"/>
        <v>0.0001-0.770232558139536i</v>
      </c>
      <c r="AQ71" s="105" t="str">
        <f t="shared" si="15"/>
        <v>0.000000001</v>
      </c>
      <c r="AR71" s="105" t="str">
        <f t="shared" si="16"/>
        <v>0.000192558139534884+0.277283720930232i</v>
      </c>
      <c r="AS71" s="93" t="str">
        <f t="shared" si="12"/>
        <v>2.30607627906977+0.0001i</v>
      </c>
      <c r="AU71" s="87" t="str">
        <f t="shared" si="13"/>
        <v>0.000192559139534884+0.277283720930232i</v>
      </c>
      <c r="AV71" s="87" t="str">
        <f t="shared" si="17"/>
        <v>0.000416327691906459+0.639437430665324i</v>
      </c>
      <c r="AW71" s="87" t="str">
        <f t="shared" si="18"/>
        <v>2.3062688382093+0.277383720930232i</v>
      </c>
      <c r="AX71" s="87" t="str">
        <f t="shared" si="19"/>
        <v>0.0330496150700256+0.273285574959796i</v>
      </c>
      <c r="AY71" s="87" t="str">
        <f t="shared" si="20"/>
        <v>0.0331496150700256-0.49694698317974i</v>
      </c>
      <c r="AZ71" s="87">
        <f t="shared" si="21"/>
        <v>14.399999999999981</v>
      </c>
      <c r="BA71" s="87">
        <f t="shared" si="22"/>
        <v>0.49805140404453802</v>
      </c>
    </row>
    <row r="72" spans="2:53" ht="18" x14ac:dyDescent="0.35">
      <c r="B72" s="4" t="s">
        <v>32</v>
      </c>
      <c r="D72" s="142">
        <f>D14</f>
        <v>360.22451202144589</v>
      </c>
      <c r="E72" s="98">
        <v>0</v>
      </c>
      <c r="F72" s="98">
        <v>0</v>
      </c>
      <c r="G72" s="98">
        <v>0</v>
      </c>
      <c r="H72" s="98">
        <v>100</v>
      </c>
      <c r="I72" s="98">
        <v>0</v>
      </c>
      <c r="J72" s="98">
        <v>0</v>
      </c>
      <c r="K72" s="98">
        <v>0</v>
      </c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  <c r="Y72" s="143"/>
      <c r="Z72" s="143"/>
      <c r="AA72" s="143"/>
      <c r="AB72" s="143"/>
      <c r="AC72" s="143"/>
      <c r="AD72" s="143"/>
      <c r="AE72" s="143"/>
      <c r="AF72" s="143"/>
      <c r="AG72" s="143"/>
      <c r="AH72" s="143"/>
      <c r="AI72" s="143"/>
      <c r="AJ72" s="143"/>
      <c r="AK72" s="143"/>
      <c r="AO72" s="87">
        <f t="shared" si="23"/>
        <v>14.59999999999998</v>
      </c>
      <c r="AP72" s="126" t="str">
        <f t="shared" si="14"/>
        <v>0.0001-0.759681427206118i</v>
      </c>
      <c r="AQ72" s="105" t="str">
        <f t="shared" si="15"/>
        <v>0.000000001</v>
      </c>
      <c r="AR72" s="105" t="str">
        <f t="shared" si="16"/>
        <v>0.000192558139534884+0.28113488372093i</v>
      </c>
      <c r="AS72" s="93" t="str">
        <f t="shared" si="12"/>
        <v>2.30607627906977+0.0001i</v>
      </c>
      <c r="AU72" s="87" t="str">
        <f t="shared" si="13"/>
        <v>0.000192559139534884+0.28113488372093i</v>
      </c>
      <c r="AV72" s="87" t="str">
        <f t="shared" si="17"/>
        <v>0.000415942575627389+0.648318505823789i</v>
      </c>
      <c r="AW72" s="87" t="str">
        <f t="shared" si="18"/>
        <v>2.3062688382093+0.28123488372093i</v>
      </c>
      <c r="AX72" s="87" t="str">
        <f t="shared" si="19"/>
        <v>0.0339551884287566+0.276970798794765i</v>
      </c>
      <c r="AY72" s="87" t="str">
        <f t="shared" si="20"/>
        <v>0.0340551884287566-0.482710628411353i</v>
      </c>
      <c r="AZ72" s="87">
        <f t="shared" si="21"/>
        <v>14.59999999999998</v>
      </c>
      <c r="BA72" s="87">
        <f t="shared" si="22"/>
        <v>0.48391043245646342</v>
      </c>
    </row>
    <row r="73" spans="2:53" ht="18" x14ac:dyDescent="0.35">
      <c r="B73" s="4" t="s">
        <v>33</v>
      </c>
      <c r="D73" s="147">
        <f t="shared" ref="D73:K73" si="24">($D$22/D71)*D72</f>
        <v>3995.3757225433528</v>
      </c>
      <c r="E73" s="147">
        <f t="shared" si="24"/>
        <v>0</v>
      </c>
      <c r="F73" s="147">
        <f t="shared" si="24"/>
        <v>0</v>
      </c>
      <c r="G73" s="147">
        <f t="shared" si="24"/>
        <v>0</v>
      </c>
      <c r="H73" s="147">
        <f t="shared" si="24"/>
        <v>221.82697674418611</v>
      </c>
      <c r="I73" s="147">
        <f t="shared" si="24"/>
        <v>0</v>
      </c>
      <c r="J73" s="147">
        <f t="shared" si="24"/>
        <v>0</v>
      </c>
      <c r="K73" s="147">
        <f t="shared" si="24"/>
        <v>0</v>
      </c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  <c r="Y73" s="143"/>
      <c r="Z73" s="143"/>
      <c r="AA73" s="143"/>
      <c r="AB73" s="143"/>
      <c r="AC73" s="143"/>
      <c r="AD73" s="143"/>
      <c r="AE73" s="143"/>
      <c r="AF73" s="143"/>
      <c r="AG73" s="143"/>
      <c r="AH73" s="143"/>
      <c r="AI73" s="143"/>
      <c r="AJ73" s="143"/>
      <c r="AK73" s="143"/>
      <c r="AO73" s="87">
        <f t="shared" si="23"/>
        <v>14.799999999999979</v>
      </c>
      <c r="AP73" s="126" t="str">
        <f t="shared" si="14"/>
        <v>0.0001-0.749415461973603i</v>
      </c>
      <c r="AQ73" s="105" t="str">
        <f t="shared" si="15"/>
        <v>0.000000001</v>
      </c>
      <c r="AR73" s="105" t="str">
        <f t="shared" si="16"/>
        <v>0.000192558139534884+0.284986046511628i</v>
      </c>
      <c r="AS73" s="93" t="str">
        <f t="shared" si="12"/>
        <v>2.30607627906977+0.0001i</v>
      </c>
      <c r="AU73" s="87" t="str">
        <f t="shared" si="13"/>
        <v>0.000192559139534884+0.284986046511628i</v>
      </c>
      <c r="AV73" s="87" t="str">
        <f t="shared" si="17"/>
        <v>0.000415557459348319+0.657199580982254i</v>
      </c>
      <c r="AW73" s="87" t="str">
        <f t="shared" si="18"/>
        <v>2.3062688382093+0.285086046511628i</v>
      </c>
      <c r="AX73" s="87" t="str">
        <f t="shared" si="19"/>
        <v>0.0348725159951019+0.280651545275988i</v>
      </c>
      <c r="AY73" s="87" t="str">
        <f t="shared" si="20"/>
        <v>0.0349725159951019-0.468763916697615i</v>
      </c>
      <c r="AZ73" s="87">
        <f t="shared" si="21"/>
        <v>14.799999999999979</v>
      </c>
      <c r="BA73" s="87">
        <f t="shared" si="22"/>
        <v>0.47006668300648169</v>
      </c>
    </row>
    <row r="74" spans="2:53" ht="18" x14ac:dyDescent="0.35">
      <c r="B74" s="91" t="s">
        <v>68</v>
      </c>
      <c r="C74" s="87"/>
      <c r="D74" s="147">
        <f t="shared" ref="D74:K75" si="25">T94</f>
        <v>360.21195470085985</v>
      </c>
      <c r="E74" s="147">
        <f t="shared" si="25"/>
        <v>0</v>
      </c>
      <c r="F74" s="147">
        <f t="shared" si="25"/>
        <v>0</v>
      </c>
      <c r="G74" s="147">
        <f t="shared" si="25"/>
        <v>0</v>
      </c>
      <c r="H74" s="147">
        <f t="shared" si="25"/>
        <v>99.912959949353279</v>
      </c>
      <c r="I74" s="147">
        <f t="shared" si="25"/>
        <v>0</v>
      </c>
      <c r="J74" s="147">
        <f t="shared" si="25"/>
        <v>0</v>
      </c>
      <c r="K74" s="147">
        <f t="shared" si="25"/>
        <v>0</v>
      </c>
      <c r="N74" s="143"/>
      <c r="O74" s="143"/>
      <c r="P74" s="143"/>
      <c r="Q74" s="143"/>
      <c r="R74" s="143"/>
      <c r="S74" s="143"/>
      <c r="T74" s="143"/>
      <c r="U74" s="143"/>
      <c r="V74" s="143"/>
      <c r="W74" s="143"/>
      <c r="X74" s="143"/>
      <c r="Y74" s="143"/>
      <c r="Z74" s="143"/>
      <c r="AA74" s="143"/>
      <c r="AB74" s="143"/>
      <c r="AC74" s="143"/>
      <c r="AD74" s="143"/>
      <c r="AE74" s="143"/>
      <c r="AF74" s="143"/>
      <c r="AG74" s="143"/>
      <c r="AH74" s="143"/>
      <c r="AI74" s="143"/>
      <c r="AJ74" s="143"/>
      <c r="AK74" s="143"/>
      <c r="AO74" s="87">
        <f t="shared" si="23"/>
        <v>14.999999999999979</v>
      </c>
      <c r="AP74" s="126" t="str">
        <f t="shared" si="14"/>
        <v>0.0001-0.739423255813955i</v>
      </c>
      <c r="AQ74" s="105" t="str">
        <f t="shared" si="15"/>
        <v>0.000000001</v>
      </c>
      <c r="AR74" s="105" t="str">
        <f t="shared" si="16"/>
        <v>0.000192558139534884+0.288837209302325i</v>
      </c>
      <c r="AS74" s="93" t="str">
        <f t="shared" si="12"/>
        <v>2.30607627906977+0.0001i</v>
      </c>
      <c r="AU74" s="87" t="str">
        <f t="shared" si="13"/>
        <v>0.000192559139534884+0.288837209302325i</v>
      </c>
      <c r="AV74" s="87" t="str">
        <f t="shared" si="17"/>
        <v>0.000415172343069249+0.666080656140716i</v>
      </c>
      <c r="AW74" s="87" t="str">
        <f t="shared" si="18"/>
        <v>2.3062688382093+0.288937209302325i</v>
      </c>
      <c r="AX74" s="87" t="str">
        <f t="shared" si="19"/>
        <v>0.0358015684227445+0.284327759196169i</v>
      </c>
      <c r="AY74" s="87" t="str">
        <f t="shared" si="20"/>
        <v>0.0359015684227445-0.455095496617786i</v>
      </c>
      <c r="AZ74" s="87">
        <f t="shared" si="21"/>
        <v>14.999999999999979</v>
      </c>
      <c r="BA74" s="87">
        <f t="shared" si="22"/>
        <v>0.45650940149902963</v>
      </c>
    </row>
    <row r="75" spans="2:53" ht="18" x14ac:dyDescent="0.35">
      <c r="B75" s="91" t="s">
        <v>69</v>
      </c>
      <c r="C75" s="87"/>
      <c r="D75" s="139">
        <f t="shared" si="25"/>
        <v>3.0077818528795914</v>
      </c>
      <c r="E75" s="139">
        <f t="shared" si="25"/>
        <v>0</v>
      </c>
      <c r="F75" s="139">
        <f t="shared" si="25"/>
        <v>0</v>
      </c>
      <c r="G75" s="139">
        <f t="shared" si="25"/>
        <v>0</v>
      </c>
      <c r="H75" s="139">
        <f t="shared" si="25"/>
        <v>4.1713827634165535</v>
      </c>
      <c r="I75" s="139">
        <f t="shared" si="25"/>
        <v>0</v>
      </c>
      <c r="J75" s="139">
        <f t="shared" si="25"/>
        <v>0</v>
      </c>
      <c r="K75" s="139">
        <f t="shared" si="25"/>
        <v>0</v>
      </c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  <c r="Y75" s="143"/>
      <c r="Z75" s="143"/>
      <c r="AA75" s="143"/>
      <c r="AB75" s="143"/>
      <c r="AC75" s="143"/>
      <c r="AD75" s="143"/>
      <c r="AE75" s="143"/>
      <c r="AF75" s="143"/>
      <c r="AG75" s="143"/>
      <c r="AH75" s="143"/>
      <c r="AI75" s="143"/>
      <c r="AJ75" s="143"/>
      <c r="AK75" s="143"/>
      <c r="AO75" s="87">
        <f t="shared" si="23"/>
        <v>15.199999999999978</v>
      </c>
      <c r="AP75" s="126" t="str">
        <f t="shared" si="14"/>
        <v>0.0001-0.729694002447982i</v>
      </c>
      <c r="AQ75" s="105" t="str">
        <f t="shared" si="15"/>
        <v>0.000000001</v>
      </c>
      <c r="AR75" s="105" t="str">
        <f t="shared" si="16"/>
        <v>0.000192558139534884+0.292688372093023i</v>
      </c>
      <c r="AS75" s="93" t="str">
        <f t="shared" si="12"/>
        <v>2.30607627906977+0.0001i</v>
      </c>
      <c r="AU75" s="87" t="str">
        <f t="shared" si="13"/>
        <v>0.000192559139534884+0.292688372093023i</v>
      </c>
      <c r="AV75" s="87" t="str">
        <f t="shared" si="17"/>
        <v>0.00041478722679018+0.674961731299181i</v>
      </c>
      <c r="AW75" s="87" t="str">
        <f t="shared" si="18"/>
        <v>2.3062688382093+0.292788372093023i</v>
      </c>
      <c r="AX75" s="87" t="str">
        <f t="shared" si="19"/>
        <v>0.0367423160269525+0.287999385587i</v>
      </c>
      <c r="AY75" s="87" t="str">
        <f t="shared" si="20"/>
        <v>0.0368423160269525-0.441694616860982i</v>
      </c>
      <c r="AZ75" s="87">
        <f t="shared" si="21"/>
        <v>15.199999999999978</v>
      </c>
      <c r="BA75" s="87">
        <f t="shared" si="22"/>
        <v>0.44322848601392878</v>
      </c>
    </row>
    <row r="76" spans="2:53" x14ac:dyDescent="0.25">
      <c r="B76" s="91" t="s">
        <v>285</v>
      </c>
      <c r="C76" s="87"/>
      <c r="D76" s="252">
        <f t="shared" ref="D76:K76" si="26">(VLOOKUP(D71+0.1,filterimpedancehp,2)*D72)/((($D$8*1000)/1.73205))</f>
        <v>1.0011853846645817</v>
      </c>
      <c r="E76" s="253">
        <f t="shared" si="26"/>
        <v>0</v>
      </c>
      <c r="F76" s="253">
        <f t="shared" si="26"/>
        <v>0</v>
      </c>
      <c r="G76" s="253">
        <f t="shared" si="26"/>
        <v>0</v>
      </c>
      <c r="H76" s="253">
        <f t="shared" si="26"/>
        <v>5.3271300972645555E-2</v>
      </c>
      <c r="I76" s="253">
        <f t="shared" si="26"/>
        <v>0</v>
      </c>
      <c r="J76" s="253">
        <f t="shared" si="26"/>
        <v>0</v>
      </c>
      <c r="K76" s="253">
        <f t="shared" si="26"/>
        <v>0</v>
      </c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  <c r="Y76" s="143"/>
      <c r="Z76" s="143"/>
      <c r="AA76" s="143"/>
      <c r="AB76" s="143"/>
      <c r="AC76" s="143"/>
      <c r="AD76" s="143"/>
      <c r="AE76" s="143"/>
      <c r="AF76" s="143"/>
      <c r="AG76" s="143"/>
      <c r="AH76" s="143"/>
      <c r="AI76" s="143"/>
      <c r="AJ76" s="143"/>
      <c r="AK76" s="143"/>
      <c r="AL76" s="143"/>
      <c r="AM76" s="143"/>
      <c r="AN76" s="143"/>
      <c r="AO76" s="87">
        <f t="shared" si="23"/>
        <v>15.399999999999977</v>
      </c>
      <c r="AP76" s="126" t="str">
        <f t="shared" si="14"/>
        <v>0.0001-0.720217456961644i</v>
      </c>
      <c r="AQ76" s="105" t="str">
        <f t="shared" si="15"/>
        <v>0.000000001</v>
      </c>
      <c r="AR76" s="105" t="str">
        <f t="shared" si="16"/>
        <v>0.000192558139534884+0.296539534883721i</v>
      </c>
      <c r="AS76" s="93" t="str">
        <f t="shared" si="12"/>
        <v>2.30607627906977+0.0001i</v>
      </c>
      <c r="AU76" s="87" t="str">
        <f t="shared" si="13"/>
        <v>0.000192559139534884+0.296539534883721i</v>
      </c>
      <c r="AV76" s="87" t="str">
        <f t="shared" si="17"/>
        <v>0.00041440211051111+0.683842806457646i</v>
      </c>
      <c r="AW76" s="87" t="str">
        <f t="shared" si="18"/>
        <v>2.3062688382093+0.296639534883721i</v>
      </c>
      <c r="AX76" s="87" t="str">
        <f t="shared" si="19"/>
        <v>0.0376947287868973+0.291666369721676i</v>
      </c>
      <c r="AY76" s="87" t="str">
        <f t="shared" si="20"/>
        <v>0.0377947287868973-0.428551087239968i</v>
      </c>
      <c r="AZ76" s="87">
        <f t="shared" si="21"/>
        <v>15.399999999999977</v>
      </c>
      <c r="BA76" s="87">
        <f t="shared" si="22"/>
        <v>0.43021445338183811</v>
      </c>
    </row>
    <row r="77" spans="2:53" x14ac:dyDescent="0.25">
      <c r="B77" s="91" t="s">
        <v>31</v>
      </c>
      <c r="C77" s="87"/>
      <c r="D77" s="98">
        <v>17</v>
      </c>
      <c r="E77" s="98">
        <v>19</v>
      </c>
      <c r="F77" s="98">
        <v>23</v>
      </c>
      <c r="G77" s="98">
        <v>25</v>
      </c>
      <c r="H77" s="98">
        <v>29</v>
      </c>
      <c r="I77" s="98">
        <v>31</v>
      </c>
      <c r="J77" s="98">
        <v>35</v>
      </c>
      <c r="K77" s="98">
        <v>37</v>
      </c>
      <c r="N77" s="143"/>
      <c r="O77" s="143"/>
      <c r="P77" s="143"/>
      <c r="Q77" s="143"/>
      <c r="R77" s="143"/>
      <c r="S77" s="143"/>
      <c r="T77" s="143">
        <f t="shared" ref="T77:AA77" si="27">D71</f>
        <v>1</v>
      </c>
      <c r="U77" s="143">
        <f t="shared" si="27"/>
        <v>2</v>
      </c>
      <c r="V77" s="143">
        <f t="shared" si="27"/>
        <v>3</v>
      </c>
      <c r="W77" s="143">
        <f t="shared" si="27"/>
        <v>4</v>
      </c>
      <c r="X77" s="143">
        <f t="shared" si="27"/>
        <v>5</v>
      </c>
      <c r="Y77" s="143">
        <f t="shared" si="27"/>
        <v>7</v>
      </c>
      <c r="Z77" s="143">
        <f t="shared" si="27"/>
        <v>11</v>
      </c>
      <c r="AA77" s="143">
        <f t="shared" si="27"/>
        <v>13</v>
      </c>
      <c r="AB77" s="143"/>
      <c r="AC77" s="143"/>
      <c r="AD77" s="143"/>
      <c r="AE77" s="143"/>
      <c r="AF77" s="143"/>
      <c r="AG77" s="143"/>
      <c r="AH77" s="143"/>
      <c r="AI77" s="143"/>
      <c r="AJ77" s="143"/>
      <c r="AK77" s="143"/>
      <c r="AL77" s="143"/>
      <c r="AM77" s="143"/>
      <c r="AN77" s="143"/>
      <c r="AO77" s="87">
        <f t="shared" si="23"/>
        <v>15.599999999999977</v>
      </c>
      <c r="AP77" s="126" t="str">
        <f t="shared" si="14"/>
        <v>0.0001-0.71098389982111i</v>
      </c>
      <c r="AQ77" s="105" t="str">
        <f t="shared" si="15"/>
        <v>0.000000001</v>
      </c>
      <c r="AR77" s="105" t="str">
        <f t="shared" si="16"/>
        <v>0.000192558139534884+0.300390697674418i</v>
      </c>
      <c r="AS77" s="93" t="str">
        <f t="shared" si="12"/>
        <v>2.30607627906977+0.0001i</v>
      </c>
      <c r="AU77" s="87" t="str">
        <f t="shared" si="13"/>
        <v>0.000192559139534884+0.300390697674418i</v>
      </c>
      <c r="AV77" s="87" t="str">
        <f t="shared" si="17"/>
        <v>0.00041401699423204+0.692723881616108i</v>
      </c>
      <c r="AW77" s="87" t="str">
        <f t="shared" si="18"/>
        <v>2.3062688382093+0.300490697674418i</v>
      </c>
      <c r="AX77" s="87" t="str">
        <f t="shared" si="19"/>
        <v>0.0386587763479972+0.2953286571174i</v>
      </c>
      <c r="AY77" s="87" t="str">
        <f t="shared" si="20"/>
        <v>0.0387587763479972-0.41565524270371i</v>
      </c>
      <c r="AZ77" s="87">
        <f t="shared" si="21"/>
        <v>15.599999999999977</v>
      </c>
      <c r="BA77" s="87">
        <f t="shared" si="22"/>
        <v>0.41745840934286393</v>
      </c>
    </row>
    <row r="78" spans="2:53" ht="18" x14ac:dyDescent="0.35">
      <c r="B78" s="91" t="s">
        <v>32</v>
      </c>
      <c r="C78" s="87"/>
      <c r="D78" s="148">
        <v>0</v>
      </c>
      <c r="E78" s="148">
        <v>0</v>
      </c>
      <c r="F78" s="148">
        <v>0</v>
      </c>
      <c r="G78" s="148">
        <v>0</v>
      </c>
      <c r="H78" s="148">
        <v>0</v>
      </c>
      <c r="I78" s="148">
        <v>0</v>
      </c>
      <c r="J78" s="148">
        <v>0</v>
      </c>
      <c r="K78" s="148">
        <v>0</v>
      </c>
      <c r="N78" s="143"/>
      <c r="O78" s="143"/>
      <c r="P78" s="143"/>
      <c r="Q78" s="143"/>
      <c r="R78" s="156" t="s">
        <v>57</v>
      </c>
      <c r="S78" s="156"/>
      <c r="T78" s="156">
        <f t="shared" ref="T78:AA78" si="28">D73^2</f>
        <v>15963027.164288819</v>
      </c>
      <c r="U78" s="156">
        <f t="shared" si="28"/>
        <v>0</v>
      </c>
      <c r="V78" s="156">
        <f t="shared" si="28"/>
        <v>0</v>
      </c>
      <c r="W78" s="156">
        <f t="shared" si="28"/>
        <v>0</v>
      </c>
      <c r="X78" s="156">
        <f t="shared" si="28"/>
        <v>49207.207611465688</v>
      </c>
      <c r="Y78" s="156">
        <f t="shared" si="28"/>
        <v>0</v>
      </c>
      <c r="Z78" s="156">
        <f t="shared" si="28"/>
        <v>0</v>
      </c>
      <c r="AA78" s="156">
        <f t="shared" si="28"/>
        <v>0</v>
      </c>
      <c r="AB78" s="156"/>
      <c r="AC78" s="156"/>
      <c r="AD78" s="156"/>
      <c r="AE78" s="156"/>
      <c r="AF78" s="156"/>
      <c r="AG78" s="156"/>
      <c r="AH78" s="156"/>
      <c r="AI78" s="156"/>
      <c r="AJ78" s="143"/>
      <c r="AK78" s="143"/>
      <c r="AL78" s="143"/>
      <c r="AM78" s="143"/>
      <c r="AN78" s="143"/>
      <c r="AO78" s="87">
        <f t="shared" si="23"/>
        <v>15.799999999999976</v>
      </c>
      <c r="AP78" s="126" t="str">
        <f t="shared" si="14"/>
        <v>0.0001-0.701984103620843i</v>
      </c>
      <c r="AQ78" s="105" t="str">
        <f t="shared" si="15"/>
        <v>0.000000001</v>
      </c>
      <c r="AR78" s="105" t="str">
        <f t="shared" si="16"/>
        <v>0.000192558139534884+0.304241860465116i</v>
      </c>
      <c r="AS78" s="93" t="str">
        <f t="shared" si="12"/>
        <v>2.30607627906977+0.0001i</v>
      </c>
      <c r="AU78" s="87" t="str">
        <f t="shared" si="13"/>
        <v>0.000192559139534884+0.304241860465116i</v>
      </c>
      <c r="AV78" s="87" t="str">
        <f t="shared" si="17"/>
        <v>0.00041363187795297+0.701604956774573i</v>
      </c>
      <c r="AW78" s="87" t="str">
        <f t="shared" si="18"/>
        <v>2.3062688382093+0.304341860465116i</v>
      </c>
      <c r="AX78" s="87" t="str">
        <f t="shared" si="19"/>
        <v>0.0396344280242816+0.298986193537865i</v>
      </c>
      <c r="AY78" s="87" t="str">
        <f t="shared" si="20"/>
        <v>0.0397344280242816-0.402997910082978i</v>
      </c>
      <c r="AZ78" s="87">
        <f t="shared" si="21"/>
        <v>15.799999999999976</v>
      </c>
      <c r="BA78" s="87">
        <f t="shared" si="22"/>
        <v>0.40495202222197241</v>
      </c>
    </row>
    <row r="79" spans="2:53" ht="18" x14ac:dyDescent="0.35">
      <c r="B79" s="91" t="s">
        <v>33</v>
      </c>
      <c r="C79" s="87"/>
      <c r="D79" s="149">
        <f t="shared" ref="D79:K79" si="29">($D$22/D77)*D78</f>
        <v>0</v>
      </c>
      <c r="E79" s="149">
        <f t="shared" si="29"/>
        <v>0</v>
      </c>
      <c r="F79" s="149">
        <f t="shared" si="29"/>
        <v>0</v>
      </c>
      <c r="G79" s="149">
        <f t="shared" si="29"/>
        <v>0</v>
      </c>
      <c r="H79" s="149">
        <f t="shared" si="29"/>
        <v>0</v>
      </c>
      <c r="I79" s="149">
        <f t="shared" si="29"/>
        <v>0</v>
      </c>
      <c r="J79" s="149">
        <f t="shared" si="29"/>
        <v>0</v>
      </c>
      <c r="K79" s="149">
        <f t="shared" si="29"/>
        <v>0</v>
      </c>
      <c r="N79" s="143"/>
      <c r="O79" s="143"/>
      <c r="P79" s="143"/>
      <c r="Q79" s="143"/>
      <c r="R79" s="156" t="s">
        <v>58</v>
      </c>
      <c r="S79" s="156"/>
      <c r="T79" s="156">
        <f t="shared" ref="T79:AA79" si="30">D72*D72</f>
        <v>129761.69906108882</v>
      </c>
      <c r="U79" s="156">
        <f t="shared" si="30"/>
        <v>0</v>
      </c>
      <c r="V79" s="156">
        <f t="shared" si="30"/>
        <v>0</v>
      </c>
      <c r="W79" s="156">
        <f t="shared" si="30"/>
        <v>0</v>
      </c>
      <c r="X79" s="156">
        <f t="shared" si="30"/>
        <v>10000</v>
      </c>
      <c r="Y79" s="156">
        <f t="shared" si="30"/>
        <v>0</v>
      </c>
      <c r="Z79" s="156">
        <f t="shared" si="30"/>
        <v>0</v>
      </c>
      <c r="AA79" s="156">
        <f t="shared" si="30"/>
        <v>0</v>
      </c>
      <c r="AB79" s="156"/>
      <c r="AC79" s="156"/>
      <c r="AD79" s="156"/>
      <c r="AE79" s="156"/>
      <c r="AF79" s="156"/>
      <c r="AG79" s="156"/>
      <c r="AH79" s="156"/>
      <c r="AI79" s="156"/>
      <c r="AJ79" s="143"/>
      <c r="AK79" s="143"/>
      <c r="AL79" s="143"/>
      <c r="AM79" s="143"/>
      <c r="AN79" s="143"/>
      <c r="AO79" s="87">
        <f t="shared" si="23"/>
        <v>15.999999999999975</v>
      </c>
      <c r="AP79" s="126" t="str">
        <f t="shared" si="14"/>
        <v>0.0001-0.693209302325583i</v>
      </c>
      <c r="AQ79" s="105" t="str">
        <f t="shared" si="15"/>
        <v>0.000000001</v>
      </c>
      <c r="AR79" s="105" t="str">
        <f t="shared" si="16"/>
        <v>0.000192558139534884+0.308093023255814i</v>
      </c>
      <c r="AS79" s="93" t="str">
        <f t="shared" si="12"/>
        <v>2.30607627906977+0.0001i</v>
      </c>
      <c r="AU79" s="87" t="str">
        <f t="shared" si="13"/>
        <v>0.000192559139534884+0.308093023255814i</v>
      </c>
      <c r="AV79" s="87" t="str">
        <f t="shared" si="17"/>
        <v>0.000413246761673901+0.710486031933038i</v>
      </c>
      <c r="AW79" s="87" t="str">
        <f t="shared" si="18"/>
        <v>2.3062688382093+0.308193023255814i</v>
      </c>
      <c r="AX79" s="87" t="str">
        <f t="shared" si="19"/>
        <v>0.040621652800775+0.302638924995689i</v>
      </c>
      <c r="AY79" s="87" t="str">
        <f t="shared" si="20"/>
        <v>0.040721652800775-0.390570377329894i</v>
      </c>
      <c r="AZ79" s="87">
        <f t="shared" si="21"/>
        <v>15.999999999999975</v>
      </c>
      <c r="BA79" s="87">
        <f t="shared" si="22"/>
        <v>0.39268749999769875</v>
      </c>
    </row>
    <row r="80" spans="2:53" ht="18" x14ac:dyDescent="0.35">
      <c r="B80" s="91" t="s">
        <v>68</v>
      </c>
      <c r="C80" s="87"/>
      <c r="D80" s="149">
        <f t="shared" ref="D80:K81" si="31">AB94</f>
        <v>0</v>
      </c>
      <c r="E80" s="149">
        <f t="shared" si="31"/>
        <v>0</v>
      </c>
      <c r="F80" s="149">
        <f t="shared" si="31"/>
        <v>0</v>
      </c>
      <c r="G80" s="149">
        <f t="shared" si="31"/>
        <v>0</v>
      </c>
      <c r="H80" s="149">
        <f t="shared" si="31"/>
        <v>0</v>
      </c>
      <c r="I80" s="149">
        <f t="shared" si="31"/>
        <v>0</v>
      </c>
      <c r="J80" s="149">
        <f t="shared" si="31"/>
        <v>0</v>
      </c>
      <c r="K80" s="149">
        <f t="shared" si="31"/>
        <v>0</v>
      </c>
      <c r="N80" s="143"/>
      <c r="O80" s="143"/>
      <c r="P80" s="143"/>
      <c r="Q80" s="143"/>
      <c r="R80" s="156" t="s">
        <v>59</v>
      </c>
      <c r="S80" s="156"/>
      <c r="T80" s="156">
        <f t="shared" ref="T80:AA80" si="32">T79*$D$22/(T77*1000)</f>
        <v>1439.2322699955109</v>
      </c>
      <c r="U80" s="156">
        <f t="shared" si="32"/>
        <v>0</v>
      </c>
      <c r="V80" s="156">
        <f t="shared" si="32"/>
        <v>0</v>
      </c>
      <c r="W80" s="156">
        <f t="shared" si="32"/>
        <v>0</v>
      </c>
      <c r="X80" s="156">
        <f t="shared" si="32"/>
        <v>22.182697674418609</v>
      </c>
      <c r="Y80" s="156">
        <f t="shared" si="32"/>
        <v>0</v>
      </c>
      <c r="Z80" s="156">
        <f t="shared" si="32"/>
        <v>0</v>
      </c>
      <c r="AA80" s="156">
        <f t="shared" si="32"/>
        <v>0</v>
      </c>
      <c r="AB80" s="156"/>
      <c r="AC80" s="156"/>
      <c r="AD80" s="156"/>
      <c r="AE80" s="156"/>
      <c r="AF80" s="156"/>
      <c r="AG80" s="156"/>
      <c r="AH80" s="156"/>
      <c r="AI80" s="156"/>
      <c r="AJ80" s="143"/>
      <c r="AK80" s="143"/>
      <c r="AL80" s="143"/>
      <c r="AM80" s="143"/>
      <c r="AN80" s="143"/>
      <c r="AO80" s="87">
        <f t="shared" si="23"/>
        <v>16.199999999999974</v>
      </c>
      <c r="AP80" s="126" t="str">
        <f t="shared" si="14"/>
        <v>0.0001-0.684651162790699i</v>
      </c>
      <c r="AQ80" s="105" t="str">
        <f t="shared" si="15"/>
        <v>0.000000001</v>
      </c>
      <c r="AR80" s="105" t="str">
        <f t="shared" si="16"/>
        <v>0.000192558139534884+0.311944186046511i</v>
      </c>
      <c r="AS80" s="93" t="str">
        <f t="shared" si="12"/>
        <v>2.30607627906977+0.0001i</v>
      </c>
      <c r="AU80" s="87" t="str">
        <f t="shared" si="13"/>
        <v>0.000192559139534884+0.311944186046511i</v>
      </c>
      <c r="AV80" s="87" t="str">
        <f t="shared" si="17"/>
        <v>0.000412861645394831+0.7193671070915i</v>
      </c>
      <c r="AW80" s="87" t="str">
        <f t="shared" si="18"/>
        <v>2.3062688382093+0.312044186046511i</v>
      </c>
      <c r="AX80" s="87" t="str">
        <f t="shared" si="19"/>
        <v>0.0416204193359034+0.306286797754845i</v>
      </c>
      <c r="AY80" s="87" t="str">
        <f t="shared" si="20"/>
        <v>0.0417204193359034-0.378364365035854i</v>
      </c>
      <c r="AZ80" s="87">
        <f t="shared" si="21"/>
        <v>16.199999999999974</v>
      </c>
      <c r="BA80" s="87">
        <f t="shared" si="22"/>
        <v>0.38065757068334871</v>
      </c>
    </row>
    <row r="81" spans="2:70" ht="18" x14ac:dyDescent="0.35">
      <c r="B81" s="91" t="s">
        <v>69</v>
      </c>
      <c r="C81" s="87"/>
      <c r="D81" s="149">
        <f t="shared" si="31"/>
        <v>0</v>
      </c>
      <c r="E81" s="149">
        <f t="shared" si="31"/>
        <v>0</v>
      </c>
      <c r="F81" s="149">
        <f t="shared" si="31"/>
        <v>0</v>
      </c>
      <c r="G81" s="149">
        <f t="shared" si="31"/>
        <v>0</v>
      </c>
      <c r="H81" s="149">
        <f t="shared" si="31"/>
        <v>0</v>
      </c>
      <c r="I81" s="149">
        <f t="shared" si="31"/>
        <v>0</v>
      </c>
      <c r="J81" s="149">
        <f t="shared" si="31"/>
        <v>0</v>
      </c>
      <c r="K81" s="149">
        <f t="shared" si="31"/>
        <v>0</v>
      </c>
      <c r="N81" s="143"/>
      <c r="O81" s="143"/>
      <c r="P81" s="143"/>
      <c r="Q81" s="143"/>
      <c r="R81" s="156"/>
      <c r="S81" s="156"/>
      <c r="T81" s="156"/>
      <c r="U81" s="156"/>
      <c r="V81" s="156"/>
      <c r="W81" s="156"/>
      <c r="X81" s="156"/>
      <c r="Y81" s="156"/>
      <c r="Z81" s="156"/>
      <c r="AA81" s="156"/>
      <c r="AB81" s="156"/>
      <c r="AC81" s="156"/>
      <c r="AD81" s="156"/>
      <c r="AE81" s="156"/>
      <c r="AF81" s="156"/>
      <c r="AG81" s="156"/>
      <c r="AH81" s="156"/>
      <c r="AI81" s="156"/>
      <c r="AJ81" s="143"/>
      <c r="AK81" s="143"/>
      <c r="AL81" s="143"/>
      <c r="AM81" s="143"/>
      <c r="AN81" s="143"/>
      <c r="AO81" s="87">
        <f t="shared" si="23"/>
        <v>16.399999999999974</v>
      </c>
      <c r="AP81" s="126" t="str">
        <f t="shared" si="14"/>
        <v>0.0001-0.676301758366422i</v>
      </c>
      <c r="AQ81" s="105" t="str">
        <f t="shared" si="15"/>
        <v>0.000000001</v>
      </c>
      <c r="AR81" s="105" t="str">
        <f t="shared" si="16"/>
        <v>0.000192558139534884+0.315795348837209i</v>
      </c>
      <c r="AS81" s="93" t="str">
        <f t="shared" si="12"/>
        <v>2.30607627906977+0.0001i</v>
      </c>
      <c r="AU81" s="87" t="str">
        <f t="shared" si="13"/>
        <v>0.000192559139534884+0.315795348837209i</v>
      </c>
      <c r="AV81" s="87" t="str">
        <f t="shared" si="17"/>
        <v>0.000412476529115761+0.728248182249965i</v>
      </c>
      <c r="AW81" s="87" t="str">
        <f t="shared" si="18"/>
        <v>2.3062688382093+0.315895348837209i</v>
      </c>
      <c r="AX81" s="87" t="str">
        <f t="shared" si="19"/>
        <v>0.0426306959639222+0.309929758333057i</v>
      </c>
      <c r="AY81" s="87" t="str">
        <f t="shared" si="20"/>
        <v>0.0427306959639222-0.366372000033365i</v>
      </c>
      <c r="AZ81" s="87">
        <f t="shared" si="21"/>
        <v>16.399999999999974</v>
      </c>
      <c r="BA81" s="87">
        <f t="shared" si="22"/>
        <v>0.36885546598364127</v>
      </c>
    </row>
    <row r="82" spans="2:70" x14ac:dyDescent="0.25">
      <c r="B82" s="91" t="s">
        <v>285</v>
      </c>
      <c r="C82" s="87"/>
      <c r="D82" s="252">
        <f t="shared" ref="D82:K82" si="33">(VLOOKUP(D77+0.1,filterimpedancehp,2)*D78)/((($D$8*1000)/1.73205))</f>
        <v>0</v>
      </c>
      <c r="E82" s="253">
        <f t="shared" si="33"/>
        <v>0</v>
      </c>
      <c r="F82" s="253">
        <f t="shared" si="33"/>
        <v>0</v>
      </c>
      <c r="G82" s="253">
        <f t="shared" si="33"/>
        <v>0</v>
      </c>
      <c r="H82" s="253">
        <f t="shared" si="33"/>
        <v>0</v>
      </c>
      <c r="I82" s="253">
        <f t="shared" si="33"/>
        <v>0</v>
      </c>
      <c r="J82" s="253">
        <f t="shared" si="33"/>
        <v>0</v>
      </c>
      <c r="K82" s="253">
        <f t="shared" si="33"/>
        <v>0</v>
      </c>
      <c r="N82" s="143"/>
      <c r="O82" s="143"/>
      <c r="P82" s="143"/>
      <c r="Q82" s="143"/>
      <c r="R82" s="156"/>
      <c r="S82" s="156"/>
      <c r="T82" s="156"/>
      <c r="U82" s="156"/>
      <c r="V82" s="156"/>
      <c r="W82" s="156"/>
      <c r="X82" s="156"/>
      <c r="Y82" s="156"/>
      <c r="Z82" s="156"/>
      <c r="AA82" s="156"/>
      <c r="AB82" s="156"/>
      <c r="AC82" s="156"/>
      <c r="AD82" s="156"/>
      <c r="AE82" s="156"/>
      <c r="AF82" s="156"/>
      <c r="AG82" s="156"/>
      <c r="AH82" s="156"/>
      <c r="AI82" s="156"/>
      <c r="AJ82" s="143"/>
      <c r="AK82" s="143"/>
      <c r="AL82" s="143"/>
      <c r="AM82" s="143"/>
      <c r="AN82" s="143"/>
      <c r="AO82" s="87">
        <f t="shared" si="23"/>
        <v>16.599999999999973</v>
      </c>
      <c r="AP82" s="126" t="str">
        <f t="shared" si="14"/>
        <v>0.0001-0.6681535444102i</v>
      </c>
      <c r="AQ82" s="105" t="str">
        <f t="shared" si="15"/>
        <v>0.000000001</v>
      </c>
      <c r="AR82" s="105" t="str">
        <f t="shared" si="16"/>
        <v>0.000192558139534884+0.319646511627907i</v>
      </c>
      <c r="AS82" s="93" t="str">
        <f t="shared" si="12"/>
        <v>2.30607627906977+0.0001i</v>
      </c>
      <c r="AU82" s="87" t="str">
        <f t="shared" si="13"/>
        <v>0.000192559139534884+0.319646511627907i</v>
      </c>
      <c r="AV82" s="87" t="str">
        <f t="shared" si="17"/>
        <v>0.000412091412836691+0.73712925740843i</v>
      </c>
      <c r="AW82" s="87" t="str">
        <f t="shared" si="18"/>
        <v>2.3062688382093+0.319746511627907i</v>
      </c>
      <c r="AX82" s="87" t="str">
        <f t="shared" si="19"/>
        <v>0.0436524506973609+0.31356775350416i</v>
      </c>
      <c r="AY82" s="87" t="str">
        <f t="shared" si="20"/>
        <v>0.0437524506973609-0.35458579090604i</v>
      </c>
      <c r="AZ82" s="87">
        <f t="shared" si="21"/>
        <v>16.599999999999973</v>
      </c>
      <c r="BA82" s="87">
        <f t="shared" si="22"/>
        <v>0.35727490823522284</v>
      </c>
    </row>
    <row r="83" spans="2:70" x14ac:dyDescent="0.25">
      <c r="B83" s="91" t="s">
        <v>286</v>
      </c>
      <c r="C83" s="87"/>
      <c r="D83" s="261">
        <f>SQRT(E76^2+F76^2+G76^2+H76^2+I76^2+J76^2+K76^2+D82^2+E82^2+F82^2+G82^2+H82^2+I82^2+J82^2+K82^2)</f>
        <v>5.3271300972645555E-2</v>
      </c>
      <c r="E83" s="87"/>
      <c r="F83" s="87"/>
      <c r="G83" s="87"/>
      <c r="H83" s="19" t="s">
        <v>0</v>
      </c>
      <c r="N83" s="143"/>
      <c r="O83" s="143"/>
      <c r="P83" s="143"/>
      <c r="Q83" s="143"/>
      <c r="R83" s="156"/>
      <c r="S83" s="156"/>
      <c r="T83" s="156">
        <f t="shared" ref="T83:AA83" si="34">D77</f>
        <v>17</v>
      </c>
      <c r="U83" s="156">
        <f t="shared" si="34"/>
        <v>19</v>
      </c>
      <c r="V83" s="156">
        <f t="shared" si="34"/>
        <v>23</v>
      </c>
      <c r="W83" s="156">
        <f t="shared" si="34"/>
        <v>25</v>
      </c>
      <c r="X83" s="156">
        <f t="shared" si="34"/>
        <v>29</v>
      </c>
      <c r="Y83" s="156">
        <f t="shared" si="34"/>
        <v>31</v>
      </c>
      <c r="Z83" s="156">
        <f t="shared" si="34"/>
        <v>35</v>
      </c>
      <c r="AA83" s="156">
        <f t="shared" si="34"/>
        <v>37</v>
      </c>
      <c r="AB83" s="156"/>
      <c r="AC83" s="156"/>
      <c r="AD83" s="156"/>
      <c r="AE83" s="156"/>
      <c r="AF83" s="156"/>
      <c r="AG83" s="156"/>
      <c r="AH83" s="156"/>
      <c r="AI83" s="156"/>
      <c r="AJ83" s="143"/>
      <c r="AK83" s="143"/>
      <c r="AL83" s="143"/>
      <c r="AM83" s="143"/>
      <c r="AN83" s="143"/>
      <c r="AO83" s="87">
        <f t="shared" si="23"/>
        <v>16.799999999999972</v>
      </c>
      <c r="AP83" s="126" t="str">
        <f t="shared" si="14"/>
        <v>0.0001-0.660199335548174i</v>
      </c>
      <c r="AQ83" s="105" t="str">
        <f t="shared" si="15"/>
        <v>0.000000001</v>
      </c>
      <c r="AR83" s="105" t="str">
        <f t="shared" si="16"/>
        <v>0.000192558139534884+0.323497674418604i</v>
      </c>
      <c r="AS83" s="93" t="str">
        <f t="shared" si="12"/>
        <v>2.30607627906977+0.0001i</v>
      </c>
      <c r="AU83" s="87" t="str">
        <f t="shared" si="13"/>
        <v>0.000192559139534884+0.323497674418604i</v>
      </c>
      <c r="AV83" s="87" t="str">
        <f t="shared" si="17"/>
        <v>0.000411706296557622+0.746010332566892i</v>
      </c>
      <c r="AW83" s="87" t="str">
        <f t="shared" si="18"/>
        <v>2.3062688382093+0.323597674418604i</v>
      </c>
      <c r="AX83" s="87" t="str">
        <f t="shared" si="19"/>
        <v>0.0446856512294911+0.317200730300445i</v>
      </c>
      <c r="AY83" s="87" t="str">
        <f t="shared" si="20"/>
        <v>0.0447856512294911-0.342998605247729i</v>
      </c>
      <c r="AZ83" s="87">
        <f t="shared" si="21"/>
        <v>16.799999999999972</v>
      </c>
      <c r="BA83" s="87">
        <f t="shared" si="22"/>
        <v>0.3459101006879346</v>
      </c>
    </row>
    <row r="84" spans="2:70" ht="21" x14ac:dyDescent="0.35">
      <c r="B84" s="40" t="s">
        <v>138</v>
      </c>
      <c r="C84" s="39"/>
      <c r="D84" s="39"/>
      <c r="E84" s="39"/>
      <c r="F84" s="39"/>
      <c r="G84" s="10"/>
      <c r="H84" s="10"/>
      <c r="I84" s="10"/>
      <c r="J84" s="10"/>
      <c r="K84" s="10"/>
      <c r="L84" s="10"/>
      <c r="N84" s="143"/>
      <c r="O84" s="143"/>
      <c r="P84" s="143"/>
      <c r="Q84" s="143"/>
      <c r="R84" s="156" t="s">
        <v>57</v>
      </c>
      <c r="S84" s="156"/>
      <c r="T84" s="156">
        <f t="shared" ref="T84:AA84" si="35">D79^2</f>
        <v>0</v>
      </c>
      <c r="U84" s="156">
        <f t="shared" si="35"/>
        <v>0</v>
      </c>
      <c r="V84" s="156">
        <f t="shared" si="35"/>
        <v>0</v>
      </c>
      <c r="W84" s="156">
        <f t="shared" si="35"/>
        <v>0</v>
      </c>
      <c r="X84" s="156">
        <f t="shared" si="35"/>
        <v>0</v>
      </c>
      <c r="Y84" s="156">
        <f t="shared" si="35"/>
        <v>0</v>
      </c>
      <c r="Z84" s="156">
        <f t="shared" si="35"/>
        <v>0</v>
      </c>
      <c r="AA84" s="156">
        <f t="shared" si="35"/>
        <v>0</v>
      </c>
      <c r="AB84" s="156"/>
      <c r="AC84" s="156"/>
      <c r="AD84" s="156"/>
      <c r="AE84" s="156"/>
      <c r="AF84" s="156"/>
      <c r="AG84" s="156"/>
      <c r="AH84" s="156"/>
      <c r="AI84" s="156"/>
      <c r="AJ84" s="143"/>
      <c r="AK84" s="143"/>
      <c r="AL84" s="143"/>
      <c r="AM84" s="143"/>
      <c r="AN84" s="143"/>
      <c r="AO84" s="87">
        <f t="shared" si="23"/>
        <v>16.999999999999972</v>
      </c>
      <c r="AP84" s="126" t="str">
        <f t="shared" si="14"/>
        <v>0.0001-0.652432284541725i</v>
      </c>
      <c r="AQ84" s="105" t="str">
        <f t="shared" si="15"/>
        <v>0.000000001</v>
      </c>
      <c r="AR84" s="105" t="str">
        <f t="shared" si="16"/>
        <v>0.000192558139534884+0.327348837209302i</v>
      </c>
      <c r="AS84" s="93" t="str">
        <f t="shared" si="12"/>
        <v>2.30607627906977+0.0001i</v>
      </c>
      <c r="AU84" s="87" t="str">
        <f t="shared" si="13"/>
        <v>0.000192559139534884+0.327348837209302i</v>
      </c>
      <c r="AV84" s="87" t="str">
        <f t="shared" si="17"/>
        <v>0.000411321180278552+0.754891407725357i</v>
      </c>
      <c r="AW84" s="87" t="str">
        <f t="shared" si="18"/>
        <v>2.3062688382093+0.327448837209302i</v>
      </c>
      <c r="AX84" s="87" t="str">
        <f t="shared" si="19"/>
        <v>0.0457302649368132+0.320828636014972i</v>
      </c>
      <c r="AY84" s="87" t="str">
        <f t="shared" si="20"/>
        <v>0.0458302649368132-0.331603648526753i</v>
      </c>
      <c r="AZ84" s="87">
        <f t="shared" si="21"/>
        <v>16.999999999999972</v>
      </c>
      <c r="BA84" s="87">
        <f t="shared" si="22"/>
        <v>0.33475572123629616</v>
      </c>
    </row>
    <row r="85" spans="2:70" x14ac:dyDescent="0.25">
      <c r="B85" s="199" t="str">
        <f>"Filter Bank Fundamental amps "&amp;ROUND(D72,1)&amp;" amps/phase"</f>
        <v>Filter Bank Fundamental amps 360.2 amps/phase</v>
      </c>
      <c r="C85" s="143"/>
      <c r="D85" s="143"/>
      <c r="E85" s="143"/>
      <c r="F85" s="143"/>
      <c r="G85" s="143"/>
      <c r="H85" s="143"/>
      <c r="I85" s="201"/>
      <c r="J85" s="150" t="s">
        <v>242</v>
      </c>
      <c r="K85" s="202">
        <v>1.5</v>
      </c>
      <c r="L85" s="87"/>
      <c r="N85" s="143"/>
      <c r="O85" s="143"/>
      <c r="P85" s="143"/>
      <c r="Q85" s="143"/>
      <c r="R85" s="156" t="s">
        <v>58</v>
      </c>
      <c r="S85" s="156"/>
      <c r="T85" s="156">
        <f t="shared" ref="T85:AA85" si="36">D78*D78</f>
        <v>0</v>
      </c>
      <c r="U85" s="156">
        <f t="shared" si="36"/>
        <v>0</v>
      </c>
      <c r="V85" s="156">
        <f t="shared" si="36"/>
        <v>0</v>
      </c>
      <c r="W85" s="156">
        <f t="shared" si="36"/>
        <v>0</v>
      </c>
      <c r="X85" s="156">
        <f t="shared" si="36"/>
        <v>0</v>
      </c>
      <c r="Y85" s="156">
        <f t="shared" si="36"/>
        <v>0</v>
      </c>
      <c r="Z85" s="156">
        <f t="shared" si="36"/>
        <v>0</v>
      </c>
      <c r="AA85" s="156">
        <f t="shared" si="36"/>
        <v>0</v>
      </c>
      <c r="AB85" s="156"/>
      <c r="AC85" s="156"/>
      <c r="AD85" s="156"/>
      <c r="AE85" s="156"/>
      <c r="AF85" s="156"/>
      <c r="AG85" s="156"/>
      <c r="AH85" s="156"/>
      <c r="AI85" s="156"/>
      <c r="AJ85" s="143"/>
      <c r="AK85" s="143"/>
      <c r="AL85" s="143"/>
      <c r="AM85" s="143"/>
      <c r="AN85" s="143"/>
      <c r="AO85" s="87">
        <f t="shared" si="23"/>
        <v>17.199999999999971</v>
      </c>
      <c r="AP85" s="126" t="str">
        <f t="shared" si="14"/>
        <v>0.0001-0.644845862628449i</v>
      </c>
      <c r="AQ85" s="105" t="str">
        <f t="shared" si="15"/>
        <v>0.000000001</v>
      </c>
      <c r="AR85" s="105" t="str">
        <f t="shared" si="16"/>
        <v>0.000192558139534884+0.331199999999999i</v>
      </c>
      <c r="AS85" s="93" t="str">
        <f t="shared" si="12"/>
        <v>2.30607627906977+0.0001i</v>
      </c>
      <c r="AU85" s="87" t="str">
        <f t="shared" si="13"/>
        <v>0.000192559139534884+0.331199999999999i</v>
      </c>
      <c r="AV85" s="87" t="str">
        <f t="shared" si="17"/>
        <v>0.000410936063999482+0.763772482883819i</v>
      </c>
      <c r="AW85" s="87" t="str">
        <f t="shared" si="18"/>
        <v>2.3062688382093+0.331299999999999i</v>
      </c>
      <c r="AX85" s="87" t="str">
        <f t="shared" si="19"/>
        <v>0.0467862588815602+0.324451418203852i</v>
      </c>
      <c r="AY85" s="87" t="str">
        <f t="shared" si="20"/>
        <v>0.0468862588815602-0.320394444424597i</v>
      </c>
      <c r="AZ85" s="87">
        <f t="shared" si="21"/>
        <v>17.199999999999971</v>
      </c>
      <c r="BA85" s="87">
        <f t="shared" si="22"/>
        <v>0.32380691976864062</v>
      </c>
    </row>
    <row r="86" spans="2:70" x14ac:dyDescent="0.25">
      <c r="B86" s="199" t="str">
        <f>"Filter Bank RMS AMPS "&amp;ROUND(AM98,2)&amp;" amps/phase"</f>
        <v>Filter Bank RMS AMPS 373.85 amps/phase</v>
      </c>
      <c r="C86" s="143"/>
      <c r="D86" s="143"/>
      <c r="E86" s="143"/>
      <c r="G86" s="143"/>
      <c r="H86" s="143"/>
      <c r="I86" s="143"/>
      <c r="J86" s="150" t="s">
        <v>243</v>
      </c>
      <c r="K86" s="202">
        <v>1.5</v>
      </c>
      <c r="L86" s="87"/>
      <c r="N86" s="143"/>
      <c r="O86" s="143"/>
      <c r="P86" s="143"/>
      <c r="Q86" s="143"/>
      <c r="R86" s="156" t="s">
        <v>59</v>
      </c>
      <c r="S86" s="156"/>
      <c r="T86" s="156">
        <f t="shared" ref="T86:AA86" si="37">T85*$D$22/(T83*1000)</f>
        <v>0</v>
      </c>
      <c r="U86" s="156">
        <f t="shared" si="37"/>
        <v>0</v>
      </c>
      <c r="V86" s="156">
        <f t="shared" si="37"/>
        <v>0</v>
      </c>
      <c r="W86" s="156">
        <f t="shared" si="37"/>
        <v>0</v>
      </c>
      <c r="X86" s="156">
        <f t="shared" si="37"/>
        <v>0</v>
      </c>
      <c r="Y86" s="156">
        <f t="shared" si="37"/>
        <v>0</v>
      </c>
      <c r="Z86" s="156">
        <f t="shared" si="37"/>
        <v>0</v>
      </c>
      <c r="AA86" s="156">
        <f t="shared" si="37"/>
        <v>0</v>
      </c>
      <c r="AB86" s="156"/>
      <c r="AC86" s="156"/>
      <c r="AD86" s="156"/>
      <c r="AE86" s="156"/>
      <c r="AF86" s="156"/>
      <c r="AG86" s="156"/>
      <c r="AH86" s="156"/>
      <c r="AI86" s="156"/>
      <c r="AJ86" s="143"/>
      <c r="AK86" s="143"/>
      <c r="AL86" s="143"/>
      <c r="AM86" s="143"/>
      <c r="AN86" s="143"/>
      <c r="AO86" s="87">
        <f t="shared" si="23"/>
        <v>17.39999999999997</v>
      </c>
      <c r="AP86" s="126" t="str">
        <f t="shared" si="14"/>
        <v>0.0001-0.637433841218927i</v>
      </c>
      <c r="AQ86" s="105" t="str">
        <f t="shared" si="15"/>
        <v>0.000000001</v>
      </c>
      <c r="AR86" s="105" t="str">
        <f t="shared" si="16"/>
        <v>0.000192558139534884+0.335051162790697i</v>
      </c>
      <c r="AS86" s="93" t="str">
        <f t="shared" si="12"/>
        <v>2.30607627906977+0.0001i</v>
      </c>
      <c r="AU86" s="87" t="str">
        <f t="shared" si="13"/>
        <v>0.000192559139534884+0.335051162790697i</v>
      </c>
      <c r="AV86" s="87" t="str">
        <f t="shared" si="17"/>
        <v>0.000410550947720412+0.772653558042284i</v>
      </c>
      <c r="AW86" s="87" t="str">
        <f t="shared" si="18"/>
        <v>2.3062688382093+0.335151162790697i</v>
      </c>
      <c r="AX86" s="87" t="str">
        <f t="shared" si="19"/>
        <v>0.0478535998142244+0.328069024688509i</v>
      </c>
      <c r="AY86" s="87" t="str">
        <f t="shared" si="20"/>
        <v>0.0479535998142244-0.309364816530418i</v>
      </c>
      <c r="AZ86" s="87">
        <f t="shared" si="21"/>
        <v>17.39999999999997</v>
      </c>
      <c r="BA86" s="87">
        <f t="shared" si="22"/>
        <v>0.31305931936622167</v>
      </c>
    </row>
    <row r="87" spans="2:70" x14ac:dyDescent="0.25">
      <c r="C87" s="143"/>
      <c r="D87" s="143"/>
      <c r="E87" s="143"/>
      <c r="G87" s="143"/>
      <c r="H87" s="87"/>
      <c r="I87" s="87"/>
      <c r="J87" s="87"/>
      <c r="K87" s="87"/>
      <c r="L87" s="87"/>
      <c r="N87" s="143"/>
      <c r="O87" s="143"/>
      <c r="P87" s="143"/>
      <c r="Q87" s="143"/>
      <c r="R87" s="156"/>
      <c r="S87" s="156"/>
      <c r="T87" s="156"/>
      <c r="U87" s="156"/>
      <c r="V87" s="156"/>
      <c r="W87" s="156"/>
      <c r="X87" s="156"/>
      <c r="Y87" s="156"/>
      <c r="Z87" s="156"/>
      <c r="AA87" s="156"/>
      <c r="AB87" s="156"/>
      <c r="AC87" s="156"/>
      <c r="AD87" s="156"/>
      <c r="AE87" s="156"/>
      <c r="AF87" s="156"/>
      <c r="AG87" s="156"/>
      <c r="AH87" s="156"/>
      <c r="AI87" s="156"/>
      <c r="AJ87" s="143"/>
      <c r="AK87" s="143"/>
      <c r="AL87" s="143"/>
      <c r="AM87" s="143"/>
      <c r="AN87" s="143"/>
      <c r="AO87" s="87">
        <f t="shared" si="23"/>
        <v>17.599999999999969</v>
      </c>
      <c r="AP87" s="126" t="str">
        <f t="shared" si="14"/>
        <v>0.0001-0.630190274841439i</v>
      </c>
      <c r="AQ87" s="105" t="str">
        <f t="shared" si="15"/>
        <v>0.000000001</v>
      </c>
      <c r="AR87" s="105" t="str">
        <f t="shared" si="16"/>
        <v>0.000192558139534884+0.338902325581395i</v>
      </c>
      <c r="AS87" s="93" t="str">
        <f t="shared" si="12"/>
        <v>2.30607627906977+0.0001i</v>
      </c>
      <c r="AU87" s="87" t="str">
        <f t="shared" si="13"/>
        <v>0.000192559139534884+0.338902325581395i</v>
      </c>
      <c r="AV87" s="87" t="str">
        <f t="shared" si="17"/>
        <v>0.000410165831441342+0.781534633200749i</v>
      </c>
      <c r="AW87" s="87" t="str">
        <f t="shared" si="18"/>
        <v>2.3062688382093+0.339002325581395i</v>
      </c>
      <c r="AX87" s="87" t="str">
        <f t="shared" si="19"/>
        <v>0.0489322541760978+0.331681403557902i</v>
      </c>
      <c r="AY87" s="87" t="str">
        <f t="shared" si="20"/>
        <v>0.0490322541760978-0.298508871283537i</v>
      </c>
      <c r="AZ87" s="87">
        <f t="shared" si="21"/>
        <v>17.599999999999969</v>
      </c>
      <c r="BA87" s="87">
        <f t="shared" si="22"/>
        <v>0.30250902165813287</v>
      </c>
    </row>
    <row r="88" spans="2:70" ht="15" customHeight="1" x14ac:dyDescent="0.25">
      <c r="B88" s="199" t="str">
        <f>"High-Pass Resistor: "&amp;ROUND(D17,1)&amp;" ohms/Phase"</f>
        <v>High-Pass Resistor: 2.3 ohms/Phase</v>
      </c>
      <c r="C88" s="143"/>
      <c r="E88" s="143"/>
      <c r="F88" s="143"/>
      <c r="G88" s="143"/>
      <c r="H88" s="307" t="str">
        <f>"Reference: High-Pass Filter Design - Stage/Branch: "&amp;I9&amp;", Tuning Point: "&amp;FIXED(D10,2)&amp;", Reference: "&amp;I8</f>
        <v>Reference: High-Pass Filter Design - Stage/Branch: Branch/Stage #, Tuning Point: 24.00, Reference: Enter Job Name</v>
      </c>
      <c r="I88" s="307"/>
      <c r="J88" s="307"/>
      <c r="K88" s="307"/>
      <c r="L88" s="307"/>
      <c r="N88" s="143"/>
      <c r="O88" s="143"/>
      <c r="P88" s="143"/>
      <c r="Q88" s="143"/>
      <c r="R88" s="156"/>
      <c r="S88" s="156"/>
      <c r="T88" s="156"/>
      <c r="U88" s="156"/>
      <c r="V88" s="156"/>
      <c r="W88" s="156"/>
      <c r="X88" s="156"/>
      <c r="Y88" s="156"/>
      <c r="Z88" s="156"/>
      <c r="AA88" s="156"/>
      <c r="AB88" s="156"/>
      <c r="AC88" s="156"/>
      <c r="AD88" s="156"/>
      <c r="AE88" s="156"/>
      <c r="AF88" s="156"/>
      <c r="AG88" s="156"/>
      <c r="AH88" s="156"/>
      <c r="AI88" s="156"/>
      <c r="AJ88" s="143"/>
      <c r="AK88" s="143"/>
      <c r="AL88" s="143"/>
      <c r="AM88" s="143"/>
      <c r="AN88" s="143"/>
      <c r="AO88" s="87">
        <f t="shared" si="23"/>
        <v>17.799999999999969</v>
      </c>
      <c r="AP88" s="126" t="str">
        <f t="shared" si="14"/>
        <v>0.0001-0.623109485236479i</v>
      </c>
      <c r="AQ88" s="105" t="str">
        <f t="shared" si="15"/>
        <v>0.000000001</v>
      </c>
      <c r="AR88" s="105" t="str">
        <f t="shared" si="16"/>
        <v>0.000192558139534884+0.342753488372092i</v>
      </c>
      <c r="AS88" s="93" t="str">
        <f t="shared" si="12"/>
        <v>2.30607627906977+0.0001i</v>
      </c>
      <c r="AU88" s="87" t="str">
        <f t="shared" si="13"/>
        <v>0.000192559139534884+0.342753488372092i</v>
      </c>
      <c r="AV88" s="87" t="str">
        <f t="shared" si="17"/>
        <v>0.000409780715162273+0.790415708359212i</v>
      </c>
      <c r="AW88" s="87" t="str">
        <f t="shared" si="18"/>
        <v>2.3062688382093+0.342853488372092i</v>
      </c>
      <c r="AX88" s="87" t="str">
        <f t="shared" si="19"/>
        <v>0.0500221881018341+0.335288503170729i</v>
      </c>
      <c r="AY88" s="87" t="str">
        <f t="shared" si="20"/>
        <v>0.0501221881018341-0.28782098206575i</v>
      </c>
      <c r="AZ88" s="87">
        <f t="shared" si="21"/>
        <v>17.799999999999969</v>
      </c>
      <c r="BA88" s="87">
        <f t="shared" si="22"/>
        <v>0.29215261672182302</v>
      </c>
    </row>
    <row r="89" spans="2:70" x14ac:dyDescent="0.25">
      <c r="B89" s="199" t="str">
        <f>ROUND(D18,0)&amp;" KW/Phase  Total"</f>
        <v>0 KW/Phase  Total</v>
      </c>
      <c r="C89" s="143"/>
      <c r="E89" s="143"/>
      <c r="F89" s="143"/>
      <c r="G89" s="143"/>
      <c r="H89" s="308"/>
      <c r="I89" s="308"/>
      <c r="J89" s="308"/>
      <c r="K89" s="308"/>
      <c r="L89" s="308"/>
      <c r="N89" s="143"/>
      <c r="O89" s="143"/>
      <c r="P89" s="143"/>
      <c r="Q89" s="143"/>
      <c r="R89" s="156" t="s">
        <v>0</v>
      </c>
      <c r="S89" s="156"/>
      <c r="T89" s="157" t="s">
        <v>0</v>
      </c>
      <c r="U89" s="156"/>
      <c r="V89" s="156"/>
      <c r="W89" s="156"/>
      <c r="X89" s="156"/>
      <c r="Y89" s="156"/>
      <c r="Z89" s="156"/>
      <c r="AA89" s="156"/>
      <c r="AB89" s="156"/>
      <c r="AC89" s="156"/>
      <c r="AD89" s="156"/>
      <c r="AE89" s="156"/>
      <c r="AF89" s="156"/>
      <c r="AG89" s="156"/>
      <c r="AH89" s="156"/>
      <c r="AI89" s="156"/>
      <c r="AJ89" s="143"/>
      <c r="AK89" s="143"/>
      <c r="AL89" s="143"/>
      <c r="AM89" s="143"/>
      <c r="AN89" s="143"/>
      <c r="AO89" s="87">
        <f t="shared" si="23"/>
        <v>17.999999999999968</v>
      </c>
      <c r="AP89" s="126" t="str">
        <f t="shared" si="14"/>
        <v>0.0001-0.616186046511629i</v>
      </c>
      <c r="AQ89" s="105" t="str">
        <f t="shared" si="15"/>
        <v>0.000000001</v>
      </c>
      <c r="AR89" s="105" t="str">
        <f t="shared" si="16"/>
        <v>0.000192558139534884+0.34660465116279i</v>
      </c>
      <c r="AS89" s="93" t="str">
        <f t="shared" si="12"/>
        <v>2.30607627906977+0.0001i</v>
      </c>
      <c r="AU89" s="87" t="str">
        <f t="shared" si="13"/>
        <v>0.000192559139534884+0.34660465116279i</v>
      </c>
      <c r="AV89" s="87" t="str">
        <f t="shared" si="17"/>
        <v>0.000409395598883203+0.799296783517676i</v>
      </c>
      <c r="AW89" s="87" t="str">
        <f t="shared" si="18"/>
        <v>2.3062688382093+0.34670465116279i</v>
      </c>
      <c r="AX89" s="87" t="str">
        <f t="shared" si="19"/>
        <v>0.0511233674220285+0.338890272157606i</v>
      </c>
      <c r="AY89" s="87" t="str">
        <f t="shared" si="20"/>
        <v>0.0512233674220285-0.277295774354023i</v>
      </c>
      <c r="AZ89" s="87">
        <f t="shared" si="21"/>
        <v>17.999999999999968</v>
      </c>
      <c r="BA89" s="87">
        <f t="shared" si="22"/>
        <v>0.28198719801552935</v>
      </c>
    </row>
    <row r="90" spans="2:70" x14ac:dyDescent="0.25">
      <c r="B90" s="199" t="str">
        <f>ROUND(AM97,2)&amp;" RMS Amps"</f>
        <v>5.14 RMS Amps</v>
      </c>
      <c r="C90" s="143"/>
      <c r="E90" s="143"/>
      <c r="G90" s="143"/>
      <c r="H90" s="309" t="s">
        <v>240</v>
      </c>
      <c r="I90" s="309"/>
      <c r="J90" s="212"/>
      <c r="K90" s="310" t="s">
        <v>241</v>
      </c>
      <c r="L90" s="310"/>
      <c r="N90" s="143"/>
      <c r="O90" s="143"/>
      <c r="P90" s="143"/>
      <c r="Q90" s="143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6"/>
      <c r="AF90" s="156"/>
      <c r="AG90" s="156"/>
      <c r="AH90" s="156"/>
      <c r="AI90" s="156"/>
      <c r="AJ90" s="143"/>
      <c r="AK90" s="143"/>
      <c r="AL90" s="143"/>
      <c r="AM90" s="143"/>
      <c r="AN90" s="143"/>
      <c r="AO90" s="87">
        <f t="shared" si="23"/>
        <v>18.199999999999967</v>
      </c>
      <c r="AP90" s="126" t="str">
        <f t="shared" si="14"/>
        <v>0.0001-0.609414771275238i</v>
      </c>
      <c r="AQ90" s="105" t="str">
        <f t="shared" si="15"/>
        <v>0.000000001</v>
      </c>
      <c r="AR90" s="105" t="str">
        <f t="shared" si="16"/>
        <v>0.000192558139534884+0.350455813953488i</v>
      </c>
      <c r="AS90" s="93" t="str">
        <f t="shared" si="12"/>
        <v>2.30607627906977+0.0001i</v>
      </c>
      <c r="AU90" s="87" t="str">
        <f t="shared" si="13"/>
        <v>0.000192559139534884+0.350455813953488i</v>
      </c>
      <c r="AV90" s="87" t="str">
        <f t="shared" si="17"/>
        <v>0.000409010482604133+0.808177858676141i</v>
      </c>
      <c r="AW90" s="87" t="str">
        <f t="shared" si="18"/>
        <v>2.3062688382093+0.350555813953488i</v>
      </c>
      <c r="AX90" s="87" t="str">
        <f t="shared" si="19"/>
        <v>0.0522357576658119+0.342486659423199i</v>
      </c>
      <c r="AY90" s="87" t="str">
        <f t="shared" si="20"/>
        <v>0.0523357576658119-0.266928111852039i</v>
      </c>
      <c r="AZ90" s="87">
        <f t="shared" si="21"/>
        <v>18.199999999999967</v>
      </c>
      <c r="BA90" s="87">
        <f t="shared" si="22"/>
        <v>0.27201038294033786</v>
      </c>
    </row>
    <row r="91" spans="2:70" x14ac:dyDescent="0.25">
      <c r="B91" s="199" t="s">
        <v>0</v>
      </c>
      <c r="C91" s="143"/>
      <c r="D91" s="150" t="s">
        <v>0</v>
      </c>
      <c r="E91" s="143"/>
      <c r="G91" s="143"/>
      <c r="H91" s="215" t="s">
        <v>225</v>
      </c>
      <c r="I91" s="211" t="s">
        <v>215</v>
      </c>
      <c r="J91" s="143"/>
      <c r="K91" s="51" t="s">
        <v>248</v>
      </c>
      <c r="L91" s="98">
        <v>3</v>
      </c>
      <c r="N91" s="143"/>
      <c r="O91" s="143"/>
      <c r="P91" s="143"/>
      <c r="Q91" s="143"/>
      <c r="R91" s="156" t="s">
        <v>64</v>
      </c>
      <c r="S91" s="156"/>
      <c r="T91" s="156">
        <f t="shared" ref="T91:AA92" si="38">D71</f>
        <v>1</v>
      </c>
      <c r="U91" s="156">
        <f t="shared" si="38"/>
        <v>2</v>
      </c>
      <c r="V91" s="156">
        <v>3</v>
      </c>
      <c r="W91" s="156">
        <f t="shared" si="38"/>
        <v>4</v>
      </c>
      <c r="X91" s="156">
        <f t="shared" si="38"/>
        <v>5</v>
      </c>
      <c r="Y91" s="156">
        <f t="shared" si="38"/>
        <v>7</v>
      </c>
      <c r="Z91" s="156">
        <f t="shared" si="38"/>
        <v>11</v>
      </c>
      <c r="AA91" s="156">
        <f t="shared" si="38"/>
        <v>13</v>
      </c>
      <c r="AB91" s="156">
        <f t="shared" ref="AB91:AI92" si="39">D77</f>
        <v>17</v>
      </c>
      <c r="AC91" s="156">
        <f t="shared" si="39"/>
        <v>19</v>
      </c>
      <c r="AD91" s="156">
        <f t="shared" si="39"/>
        <v>23</v>
      </c>
      <c r="AE91" s="156">
        <f t="shared" si="39"/>
        <v>25</v>
      </c>
      <c r="AF91" s="156">
        <f t="shared" si="39"/>
        <v>29</v>
      </c>
      <c r="AG91" s="156">
        <f t="shared" si="39"/>
        <v>31</v>
      </c>
      <c r="AH91" s="156">
        <f t="shared" si="39"/>
        <v>35</v>
      </c>
      <c r="AI91" s="156">
        <f t="shared" si="39"/>
        <v>37</v>
      </c>
      <c r="AJ91" s="143" t="s">
        <v>0</v>
      </c>
      <c r="AK91" s="143" t="s">
        <v>0</v>
      </c>
      <c r="AL91" s="143" t="s">
        <v>0</v>
      </c>
      <c r="AM91" s="143" t="s">
        <v>0</v>
      </c>
      <c r="AN91" s="143"/>
      <c r="AO91" s="87">
        <f t="shared" si="23"/>
        <v>18.399999999999967</v>
      </c>
      <c r="AP91" s="126" t="str">
        <f t="shared" si="14"/>
        <v>0.0001-0.60279069767442i</v>
      </c>
      <c r="AQ91" s="105" t="str">
        <f t="shared" si="15"/>
        <v>0.000000001</v>
      </c>
      <c r="AR91" s="105" t="str">
        <f t="shared" si="16"/>
        <v>0.000192558139534884+0.354306976744185i</v>
      </c>
      <c r="AS91" s="93" t="str">
        <f t="shared" si="12"/>
        <v>2.30607627906977+0.0001i</v>
      </c>
      <c r="AU91" s="87" t="str">
        <f t="shared" si="13"/>
        <v>0.000192559139534884+0.354306976744185i</v>
      </c>
      <c r="AV91" s="87" t="str">
        <f t="shared" si="17"/>
        <v>0.000408625366325063+0.817058933834604i</v>
      </c>
      <c r="AW91" s="87" t="str">
        <f t="shared" si="18"/>
        <v>2.3062688382093+0.354406976744185i</v>
      </c>
      <c r="AX91" s="87" t="str">
        <f t="shared" si="19"/>
        <v>0.0533593240634654+0.346077614148348i</v>
      </c>
      <c r="AY91" s="87" t="str">
        <f t="shared" si="20"/>
        <v>0.0534593240634654-0.256713083526072i</v>
      </c>
      <c r="AZ91" s="87">
        <f t="shared" si="21"/>
        <v>18.399999999999967</v>
      </c>
      <c r="BA91" s="87">
        <f t="shared" si="22"/>
        <v>0.26222033975797265</v>
      </c>
    </row>
    <row r="92" spans="2:70" x14ac:dyDescent="0.25">
      <c r="B92" s="199" t="str">
        <f>"Iron-Core Filter Reactor: "&amp;ROUND(D24,2)&amp;" ohms, "&amp;ROUND(D25,2)&amp;" mH"</f>
        <v>Iron-Core Filter Reactor: 0.02 ohms, 0.05 mH</v>
      </c>
      <c r="C92" s="143"/>
      <c r="D92" s="143"/>
      <c r="E92" s="143"/>
      <c r="F92" s="143"/>
      <c r="G92" s="143"/>
      <c r="H92" s="138">
        <f>D71</f>
        <v>1</v>
      </c>
      <c r="I92" s="188">
        <f>D72*K85</f>
        <v>540.33676803216883</v>
      </c>
      <c r="J92" s="143"/>
      <c r="K92" s="150" t="s">
        <v>229</v>
      </c>
      <c r="L92" s="98">
        <v>3</v>
      </c>
      <c r="N92" s="143"/>
      <c r="O92" s="143"/>
      <c r="P92" s="143"/>
      <c r="Q92" s="143"/>
      <c r="R92" s="156" t="s">
        <v>65</v>
      </c>
      <c r="S92" s="156"/>
      <c r="T92" s="158">
        <f t="shared" si="38"/>
        <v>360.22451202144589</v>
      </c>
      <c r="U92" s="158">
        <f t="shared" si="38"/>
        <v>0</v>
      </c>
      <c r="V92" s="158">
        <f t="shared" si="38"/>
        <v>0</v>
      </c>
      <c r="W92" s="158">
        <f t="shared" si="38"/>
        <v>0</v>
      </c>
      <c r="X92" s="158">
        <f t="shared" si="38"/>
        <v>100</v>
      </c>
      <c r="Y92" s="158">
        <f t="shared" si="38"/>
        <v>0</v>
      </c>
      <c r="Z92" s="158">
        <f t="shared" si="38"/>
        <v>0</v>
      </c>
      <c r="AA92" s="158">
        <f t="shared" si="38"/>
        <v>0</v>
      </c>
      <c r="AB92" s="158">
        <f t="shared" si="39"/>
        <v>0</v>
      </c>
      <c r="AC92" s="158">
        <f t="shared" si="39"/>
        <v>0</v>
      </c>
      <c r="AD92" s="158">
        <f t="shared" si="39"/>
        <v>0</v>
      </c>
      <c r="AE92" s="158">
        <f t="shared" si="39"/>
        <v>0</v>
      </c>
      <c r="AF92" s="158">
        <f t="shared" si="39"/>
        <v>0</v>
      </c>
      <c r="AG92" s="158">
        <f t="shared" si="39"/>
        <v>0</v>
      </c>
      <c r="AH92" s="158">
        <f t="shared" si="39"/>
        <v>0</v>
      </c>
      <c r="AI92" s="158">
        <f t="shared" si="39"/>
        <v>0</v>
      </c>
      <c r="AJ92" s="143"/>
      <c r="AK92" s="143"/>
      <c r="AL92" s="143"/>
      <c r="AM92" s="143"/>
      <c r="AN92" s="143"/>
      <c r="AO92" s="87">
        <f t="shared" si="23"/>
        <v>18.599999999999966</v>
      </c>
      <c r="AP92" s="126" t="str">
        <f t="shared" si="14"/>
        <v>0.0001-0.596309077269319i</v>
      </c>
      <c r="AQ92" s="105" t="str">
        <f t="shared" si="15"/>
        <v>0.000000001</v>
      </c>
      <c r="AR92" s="105" t="str">
        <f t="shared" si="16"/>
        <v>0.000192558139534884+0.358158139534883i</v>
      </c>
      <c r="AS92" s="93" t="str">
        <f t="shared" si="12"/>
        <v>2.30607627906977+0.0001i</v>
      </c>
      <c r="AU92" s="87" t="str">
        <f t="shared" si="13"/>
        <v>0.000192559139534884+0.358158139534883i</v>
      </c>
      <c r="AV92" s="87" t="str">
        <f t="shared" si="17"/>
        <v>0.000408240250045994+0.825940008993069i</v>
      </c>
      <c r="AW92" s="87" t="str">
        <f t="shared" si="18"/>
        <v>2.3062688382093+0.358258139534883i</v>
      </c>
      <c r="AX92" s="87" t="str">
        <f t="shared" si="19"/>
        <v>0.0544940315490504+0.349663085792154i</v>
      </c>
      <c r="AY92" s="87" t="str">
        <f t="shared" si="20"/>
        <v>0.0545940315490504-0.246645991477165i</v>
      </c>
      <c r="AZ92" s="87">
        <f t="shared" si="21"/>
        <v>18.599999999999966</v>
      </c>
      <c r="BA92" s="87">
        <f t="shared" si="22"/>
        <v>0.25261582173833147</v>
      </c>
      <c r="BL92" s="104">
        <f>I92</f>
        <v>540.33676803216883</v>
      </c>
      <c r="BM92" s="87">
        <f>BL92*BL92</f>
        <v>291963.82288744982</v>
      </c>
      <c r="BN92" s="87"/>
      <c r="BO92" s="87"/>
      <c r="BP92" s="87"/>
      <c r="BQ92" s="87"/>
      <c r="BR92" s="87"/>
    </row>
    <row r="93" spans="2:70" x14ac:dyDescent="0.25">
      <c r="B93" s="199" t="str">
        <f>"I1= "&amp;ROUND(D74,1)&amp;" amps nominal"</f>
        <v>I1= 360.2 amps nominal</v>
      </c>
      <c r="C93" s="143"/>
      <c r="D93" s="143"/>
      <c r="E93" s="143"/>
      <c r="F93" s="143"/>
      <c r="G93" s="143"/>
      <c r="H93" s="205">
        <f>E71</f>
        <v>2</v>
      </c>
      <c r="I93" s="206">
        <f>E72*K86</f>
        <v>0</v>
      </c>
      <c r="J93" s="143"/>
      <c r="K93" s="150" t="s">
        <v>228</v>
      </c>
      <c r="L93" s="90" t="str">
        <f>D8&amp;" kV"</f>
        <v>6.9 kV</v>
      </c>
      <c r="N93" s="143"/>
      <c r="O93" s="143"/>
      <c r="P93" s="143"/>
      <c r="Q93" s="143"/>
      <c r="R93" s="156" t="s">
        <v>308</v>
      </c>
      <c r="S93" s="156"/>
      <c r="T93" s="157">
        <f>1/SQRT((1/$D$17^2)+(1/($D$24*T91)^2))</f>
        <v>1.9255142701475006E-2</v>
      </c>
      <c r="U93" s="157">
        <f t="shared" ref="U93:AI93" si="40">1/SQRT((1/$D$17^2)+(1/($D$24*U91)^2))</f>
        <v>3.850625873310054E-2</v>
      </c>
      <c r="V93" s="157">
        <f t="shared" si="40"/>
        <v>5.7749325633979935E-2</v>
      </c>
      <c r="W93" s="157">
        <f t="shared" si="40"/>
        <v>7.6980329350861479E-2</v>
      </c>
      <c r="X93" s="157">
        <f t="shared" si="40"/>
        <v>9.6195268416354104E-2</v>
      </c>
      <c r="Y93" s="157">
        <f t="shared" si="40"/>
        <v>0.13456103449799636</v>
      </c>
      <c r="Z93" s="157">
        <f t="shared" si="40"/>
        <v>0.21092608428075033</v>
      </c>
      <c r="AA93" s="157">
        <f t="shared" si="40"/>
        <v>0.24886367048094471</v>
      </c>
      <c r="AB93" s="157">
        <f t="shared" si="40"/>
        <v>0.32409982263256509</v>
      </c>
      <c r="AC93" s="157">
        <f t="shared" si="40"/>
        <v>0.36134124179293775</v>
      </c>
      <c r="AD93" s="157">
        <f t="shared" si="40"/>
        <v>0.4349353789757372</v>
      </c>
      <c r="AE93" s="157">
        <f t="shared" si="40"/>
        <v>0.47123729994287517</v>
      </c>
      <c r="AF93" s="157">
        <f t="shared" si="40"/>
        <v>0.54273312118877015</v>
      </c>
      <c r="AG93" s="157">
        <f t="shared" si="40"/>
        <v>0.57788388003706614</v>
      </c>
      <c r="AH93" s="157">
        <f t="shared" si="40"/>
        <v>0.64689361880452212</v>
      </c>
      <c r="AI93" s="157">
        <f t="shared" si="40"/>
        <v>0.68071787316125898</v>
      </c>
      <c r="AJ93" s="143"/>
      <c r="AK93" s="143"/>
      <c r="AL93" s="143"/>
      <c r="AM93" s="143"/>
      <c r="AN93" s="143"/>
      <c r="AO93" s="87">
        <f t="shared" si="23"/>
        <v>18.799999999999965</v>
      </c>
      <c r="AP93" s="126" t="str">
        <f t="shared" si="14"/>
        <v>0.0001-0.589965363681347i</v>
      </c>
      <c r="AQ93" s="105" t="str">
        <f t="shared" si="15"/>
        <v>0.000000001</v>
      </c>
      <c r="AR93" s="105" t="str">
        <f t="shared" si="16"/>
        <v>0.000192558139534884+0.362009302325581i</v>
      </c>
      <c r="AS93" s="93" t="str">
        <f t="shared" si="12"/>
        <v>2.30607627906977+0.0001i</v>
      </c>
      <c r="AU93" s="87" t="str">
        <f t="shared" si="13"/>
        <v>0.000192559139534884+0.362009302325581i</v>
      </c>
      <c r="AV93" s="87" t="str">
        <f t="shared" si="17"/>
        <v>0.000407855133766924+0.834821084151533i</v>
      </c>
      <c r="AW93" s="87" t="str">
        <f t="shared" si="18"/>
        <v>2.3062688382093+0.362109302325581i</v>
      </c>
      <c r="AX93" s="87" t="str">
        <f t="shared" si="19"/>
        <v>0.0556398447630542+0.353243024094031i</v>
      </c>
      <c r="AY93" s="87" t="str">
        <f t="shared" si="20"/>
        <v>0.0557398447630542-0.236722339587316i</v>
      </c>
      <c r="AZ93" s="87">
        <f t="shared" si="21"/>
        <v>18.799999999999965</v>
      </c>
      <c r="BA93" s="87">
        <f t="shared" si="22"/>
        <v>0.24319620957963539</v>
      </c>
      <c r="BL93" s="104">
        <f t="shared" ref="BL93:BL107" si="41">I93</f>
        <v>0</v>
      </c>
      <c r="BM93" s="87">
        <f t="shared" ref="BM93:BM107" si="42">BL93*BL93</f>
        <v>0</v>
      </c>
      <c r="BN93" s="87"/>
      <c r="BO93" s="87"/>
      <c r="BP93" s="87"/>
      <c r="BQ93" s="87"/>
      <c r="BR93" s="87"/>
    </row>
    <row r="94" spans="2:70" x14ac:dyDescent="0.25">
      <c r="B94" s="199"/>
      <c r="C94" s="143"/>
      <c r="D94" s="143"/>
      <c r="E94" s="143"/>
      <c r="F94" s="143"/>
      <c r="G94" s="143"/>
      <c r="H94" s="138">
        <f>F71</f>
        <v>3</v>
      </c>
      <c r="I94" s="203">
        <f>F72*K86</f>
        <v>0</v>
      </c>
      <c r="J94" s="87"/>
      <c r="K94" s="150" t="s">
        <v>233</v>
      </c>
      <c r="L94" s="98">
        <v>95</v>
      </c>
      <c r="N94" s="143"/>
      <c r="O94" s="143"/>
      <c r="P94" s="143"/>
      <c r="Q94" s="143"/>
      <c r="R94" s="156" t="s">
        <v>309</v>
      </c>
      <c r="S94" s="156"/>
      <c r="T94" s="159">
        <f>(T93*T92)/(T91*$D$24)</f>
        <v>360.21195470085985</v>
      </c>
      <c r="U94" s="159">
        <f t="shared" ref="U94:AI94" si="43">(U93*U92)/(U91*$D$24)</f>
        <v>0</v>
      </c>
      <c r="V94" s="159">
        <f t="shared" si="43"/>
        <v>0</v>
      </c>
      <c r="W94" s="159">
        <f t="shared" si="43"/>
        <v>0</v>
      </c>
      <c r="X94" s="159">
        <f t="shared" si="43"/>
        <v>99.912959949353279</v>
      </c>
      <c r="Y94" s="159">
        <f t="shared" si="43"/>
        <v>0</v>
      </c>
      <c r="Z94" s="159">
        <f t="shared" si="43"/>
        <v>0</v>
      </c>
      <c r="AA94" s="159">
        <f t="shared" si="43"/>
        <v>0</v>
      </c>
      <c r="AB94" s="159">
        <f t="shared" si="43"/>
        <v>0</v>
      </c>
      <c r="AC94" s="159">
        <f t="shared" si="43"/>
        <v>0</v>
      </c>
      <c r="AD94" s="159">
        <f t="shared" si="43"/>
        <v>0</v>
      </c>
      <c r="AE94" s="159">
        <f t="shared" si="43"/>
        <v>0</v>
      </c>
      <c r="AF94" s="159">
        <f t="shared" si="43"/>
        <v>0</v>
      </c>
      <c r="AG94" s="159">
        <f t="shared" si="43"/>
        <v>0</v>
      </c>
      <c r="AH94" s="159">
        <f t="shared" si="43"/>
        <v>0</v>
      </c>
      <c r="AI94" s="159">
        <f t="shared" si="43"/>
        <v>0</v>
      </c>
      <c r="AJ94" s="143"/>
      <c r="AK94" s="143"/>
      <c r="AL94" s="143"/>
      <c r="AM94" s="143"/>
      <c r="AN94" s="143"/>
      <c r="AO94" s="87">
        <f t="shared" si="23"/>
        <v>18.999999999999964</v>
      </c>
      <c r="AP94" s="126" t="str">
        <f t="shared" si="14"/>
        <v>0.0001-0.583755201958386i</v>
      </c>
      <c r="AQ94" s="105" t="str">
        <f t="shared" si="15"/>
        <v>0.000000001</v>
      </c>
      <c r="AR94" s="105" t="str">
        <f t="shared" si="16"/>
        <v>0.000192558139534884+0.365860465116278i</v>
      </c>
      <c r="AS94" s="93" t="str">
        <f t="shared" si="12"/>
        <v>2.30607627906977+0.0001i</v>
      </c>
      <c r="AU94" s="87" t="str">
        <f t="shared" si="13"/>
        <v>0.000192559139534884+0.365860465116278i</v>
      </c>
      <c r="AV94" s="87" t="str">
        <f t="shared" si="17"/>
        <v>0.000407470017487854+0.843702159309996i</v>
      </c>
      <c r="AW94" s="87" t="str">
        <f t="shared" si="18"/>
        <v>2.3062688382093+0.365960465116278i</v>
      </c>
      <c r="AX94" s="87" t="str">
        <f t="shared" si="19"/>
        <v>0.0567967280550526+0.356817379075737i</v>
      </c>
      <c r="AY94" s="87" t="str">
        <f t="shared" si="20"/>
        <v>0.0568967280550526-0.226937822882649i</v>
      </c>
      <c r="AZ94" s="87">
        <f t="shared" si="21"/>
        <v>18.999999999999964</v>
      </c>
      <c r="BA94" s="87">
        <f t="shared" si="22"/>
        <v>0.2339615633348503</v>
      </c>
      <c r="BL94" s="104">
        <f t="shared" si="41"/>
        <v>0</v>
      </c>
      <c r="BM94" s="87">
        <f t="shared" si="42"/>
        <v>0</v>
      </c>
      <c r="BN94" s="87"/>
      <c r="BO94" s="87"/>
      <c r="BP94" s="87"/>
      <c r="BQ94" s="87"/>
      <c r="BR94" s="87"/>
    </row>
    <row r="95" spans="2:70" x14ac:dyDescent="0.25">
      <c r="B95" s="199"/>
      <c r="C95" s="143"/>
      <c r="D95" s="143"/>
      <c r="E95" s="143"/>
      <c r="F95" s="151"/>
      <c r="G95" s="143"/>
      <c r="H95" s="207">
        <f>G71</f>
        <v>4</v>
      </c>
      <c r="I95" s="206">
        <f>G72*K86</f>
        <v>0</v>
      </c>
      <c r="J95" s="143"/>
      <c r="K95" s="150" t="s">
        <v>236</v>
      </c>
      <c r="L95" s="90">
        <f>D11</f>
        <v>60</v>
      </c>
      <c r="N95" s="143"/>
      <c r="O95" s="143"/>
      <c r="P95" s="143"/>
      <c r="Q95" s="143"/>
      <c r="R95" s="156" t="s">
        <v>310</v>
      </c>
      <c r="S95" s="156"/>
      <c r="T95" s="159">
        <f>(T92*T93)/$D$17</f>
        <v>3.0077818528795914</v>
      </c>
      <c r="U95" s="159">
        <f t="shared" ref="U95:AI95" si="44">(U92*U93)/$D$17</f>
        <v>0</v>
      </c>
      <c r="V95" s="159">
        <f t="shared" si="44"/>
        <v>0</v>
      </c>
      <c r="W95" s="159">
        <f t="shared" si="44"/>
        <v>0</v>
      </c>
      <c r="X95" s="159">
        <f t="shared" si="44"/>
        <v>4.1713827634165535</v>
      </c>
      <c r="Y95" s="159">
        <f t="shared" si="44"/>
        <v>0</v>
      </c>
      <c r="Z95" s="159">
        <f t="shared" si="44"/>
        <v>0</v>
      </c>
      <c r="AA95" s="159">
        <f t="shared" si="44"/>
        <v>0</v>
      </c>
      <c r="AB95" s="159">
        <f t="shared" si="44"/>
        <v>0</v>
      </c>
      <c r="AC95" s="159">
        <f t="shared" si="44"/>
        <v>0</v>
      </c>
      <c r="AD95" s="159">
        <f t="shared" si="44"/>
        <v>0</v>
      </c>
      <c r="AE95" s="159">
        <f t="shared" si="44"/>
        <v>0</v>
      </c>
      <c r="AF95" s="159">
        <f t="shared" si="44"/>
        <v>0</v>
      </c>
      <c r="AG95" s="159">
        <f t="shared" si="44"/>
        <v>0</v>
      </c>
      <c r="AH95" s="159">
        <f t="shared" si="44"/>
        <v>0</v>
      </c>
      <c r="AI95" s="159">
        <f t="shared" si="44"/>
        <v>0</v>
      </c>
      <c r="AJ95" s="143"/>
      <c r="AK95" s="143"/>
      <c r="AL95" s="143"/>
      <c r="AM95" s="143"/>
      <c r="AN95" s="143"/>
      <c r="AO95" s="87">
        <f t="shared" si="23"/>
        <v>19.199999999999964</v>
      </c>
      <c r="AP95" s="126" t="str">
        <f t="shared" si="14"/>
        <v>0.0001-0.577674418604652i</v>
      </c>
      <c r="AQ95" s="105" t="str">
        <f t="shared" si="15"/>
        <v>0.000000001</v>
      </c>
      <c r="AR95" s="105" t="str">
        <f t="shared" si="16"/>
        <v>0.000192558139534884+0.369711627906976i</v>
      </c>
      <c r="AS95" s="93" t="str">
        <f t="shared" si="12"/>
        <v>2.30607627906977+0.0001i</v>
      </c>
      <c r="AU95" s="87" t="str">
        <f t="shared" si="13"/>
        <v>0.000192559139534884+0.369711627906976i</v>
      </c>
      <c r="AV95" s="87" t="str">
        <f t="shared" si="17"/>
        <v>0.000407084901208784+0.852583234468461i</v>
      </c>
      <c r="AW95" s="87" t="str">
        <f t="shared" si="18"/>
        <v>2.3062688382093+0.369811627906976i</v>
      </c>
      <c r="AX95" s="87" t="str">
        <f t="shared" si="19"/>
        <v>0.0579646454863889+0.360386101043377i</v>
      </c>
      <c r="AY95" s="87" t="str">
        <f t="shared" si="20"/>
        <v>0.0580646454863889-0.217288317561275i</v>
      </c>
      <c r="AZ95" s="87">
        <f t="shared" si="21"/>
        <v>19.199999999999964</v>
      </c>
      <c r="BA95" s="87">
        <f t="shared" si="22"/>
        <v>0.22491268528935737</v>
      </c>
      <c r="BL95" s="104">
        <f t="shared" si="41"/>
        <v>0</v>
      </c>
      <c r="BM95" s="87">
        <f t="shared" si="42"/>
        <v>0</v>
      </c>
      <c r="BN95" s="87"/>
      <c r="BO95" s="87"/>
      <c r="BP95" s="87"/>
      <c r="BQ95" s="87"/>
      <c r="BR95" s="87"/>
    </row>
    <row r="96" spans="2:70" x14ac:dyDescent="0.25">
      <c r="B96" s="199"/>
      <c r="C96" s="143"/>
      <c r="D96" s="143"/>
      <c r="E96" s="143"/>
      <c r="F96" s="143"/>
      <c r="G96" s="143"/>
      <c r="H96" s="138">
        <f>H71</f>
        <v>5</v>
      </c>
      <c r="I96" s="203">
        <f>H72*K86</f>
        <v>150</v>
      </c>
      <c r="J96" s="143"/>
      <c r="K96" s="51" t="s">
        <v>301</v>
      </c>
      <c r="L96" s="89">
        <f>D25</f>
        <v>5.1079139353515768E-2</v>
      </c>
      <c r="N96" s="143"/>
      <c r="O96" s="143"/>
      <c r="P96" s="143"/>
      <c r="Q96" s="143"/>
      <c r="R96" s="156" t="s">
        <v>313</v>
      </c>
      <c r="S96" s="156"/>
      <c r="T96" s="159">
        <f>T95*T95*$D$17</f>
        <v>20.862499439226337</v>
      </c>
      <c r="U96" s="159">
        <f t="shared" ref="U96:AI96" si="45">U95*U95*$D$17</f>
        <v>0</v>
      </c>
      <c r="V96" s="159">
        <f t="shared" si="45"/>
        <v>0</v>
      </c>
      <c r="W96" s="159">
        <f t="shared" si="45"/>
        <v>0</v>
      </c>
      <c r="X96" s="159">
        <f>X95*X95*$D$17</f>
        <v>40.126728459420832</v>
      </c>
      <c r="Y96" s="159">
        <f t="shared" si="45"/>
        <v>0</v>
      </c>
      <c r="Z96" s="159">
        <f t="shared" si="45"/>
        <v>0</v>
      </c>
      <c r="AA96" s="159">
        <f t="shared" si="45"/>
        <v>0</v>
      </c>
      <c r="AB96" s="159">
        <f t="shared" si="45"/>
        <v>0</v>
      </c>
      <c r="AC96" s="159">
        <f t="shared" si="45"/>
        <v>0</v>
      </c>
      <c r="AD96" s="159">
        <f t="shared" si="45"/>
        <v>0</v>
      </c>
      <c r="AE96" s="159">
        <f t="shared" si="45"/>
        <v>0</v>
      </c>
      <c r="AF96" s="159">
        <f t="shared" si="45"/>
        <v>0</v>
      </c>
      <c r="AG96" s="159">
        <f t="shared" si="45"/>
        <v>0</v>
      </c>
      <c r="AH96" s="159">
        <f t="shared" si="45"/>
        <v>0</v>
      </c>
      <c r="AI96" s="159">
        <f t="shared" si="45"/>
        <v>0</v>
      </c>
      <c r="AJ96" s="143"/>
      <c r="AK96" s="143"/>
      <c r="AL96" s="143"/>
      <c r="AM96" s="143"/>
      <c r="AN96" s="143"/>
      <c r="AO96" s="87">
        <f t="shared" si="23"/>
        <v>19.399999999999963</v>
      </c>
      <c r="AP96" s="126" t="str">
        <f t="shared" si="14"/>
        <v>0.0001-0.571719012227285i</v>
      </c>
      <c r="AQ96" s="105" t="str">
        <f t="shared" si="15"/>
        <v>0.000000001</v>
      </c>
      <c r="AR96" s="105" t="str">
        <f t="shared" si="16"/>
        <v>0.000192558139534884+0.373562790697674i</v>
      </c>
      <c r="AS96" s="93" t="str">
        <f t="shared" si="12"/>
        <v>2.30607627906977+0.0001i</v>
      </c>
      <c r="AU96" s="87" t="str">
        <f t="shared" si="13"/>
        <v>0.000192559139534884+0.373562790697674i</v>
      </c>
      <c r="AV96" s="87" t="str">
        <f t="shared" si="17"/>
        <v>0.000406699784929715+0.861464309626925i</v>
      </c>
      <c r="AW96" s="87" t="str">
        <f t="shared" si="18"/>
        <v>2.3062688382093+0.373662790697674i</v>
      </c>
      <c r="AX96" s="87" t="str">
        <f t="shared" si="19"/>
        <v>0.0591435608328655+0.36394914058937i</v>
      </c>
      <c r="AY96" s="87" t="str">
        <f t="shared" si="20"/>
        <v>0.0592435608328655-0.207769871637915i</v>
      </c>
      <c r="AZ96" s="87">
        <f t="shared" si="21"/>
        <v>19.399999999999963</v>
      </c>
      <c r="BA96" s="87">
        <f t="shared" si="22"/>
        <v>0.21605119546207818</v>
      </c>
      <c r="BL96" s="104">
        <f t="shared" si="41"/>
        <v>150</v>
      </c>
      <c r="BM96" s="87">
        <f t="shared" si="42"/>
        <v>22500</v>
      </c>
      <c r="BN96" s="87"/>
      <c r="BO96" s="87"/>
      <c r="BP96" s="87"/>
      <c r="BQ96" s="87"/>
      <c r="BR96" s="87"/>
    </row>
    <row r="97" spans="2:70" x14ac:dyDescent="0.25">
      <c r="B97" s="199"/>
      <c r="C97" s="143"/>
      <c r="D97" s="143"/>
      <c r="E97" s="143"/>
      <c r="F97" s="143"/>
      <c r="G97" s="143"/>
      <c r="H97" s="205">
        <f>I71</f>
        <v>7</v>
      </c>
      <c r="I97" s="206">
        <f>I72*K86</f>
        <v>0</v>
      </c>
      <c r="J97" s="143"/>
      <c r="K97" s="51" t="str">
        <f>"Reactance at "&amp;L95&amp;"Hz (ohms):"</f>
        <v>Reactance at 60Hz (ohms):</v>
      </c>
      <c r="L97" s="89">
        <f>D24</f>
        <v>1.9255813953488375E-2</v>
      </c>
      <c r="N97" s="143"/>
      <c r="O97" s="143"/>
      <c r="P97" s="143"/>
      <c r="Q97" s="143"/>
      <c r="R97" s="156" t="s">
        <v>311</v>
      </c>
      <c r="S97" s="143"/>
      <c r="T97" s="265">
        <f>T95*T95</f>
        <v>9.0467516745117891</v>
      </c>
      <c r="U97" s="143">
        <f t="shared" ref="U97:AI97" si="46">U95*U95</f>
        <v>0</v>
      </c>
      <c r="V97" s="143">
        <f t="shared" si="46"/>
        <v>0</v>
      </c>
      <c r="W97" s="143">
        <f t="shared" si="46"/>
        <v>0</v>
      </c>
      <c r="X97" s="143">
        <f t="shared" si="46"/>
        <v>17.400434158928721</v>
      </c>
      <c r="Y97" s="143">
        <f t="shared" si="46"/>
        <v>0</v>
      </c>
      <c r="Z97" s="143">
        <f t="shared" si="46"/>
        <v>0</v>
      </c>
      <c r="AA97" s="143">
        <f t="shared" si="46"/>
        <v>0</v>
      </c>
      <c r="AB97" s="143">
        <f t="shared" si="46"/>
        <v>0</v>
      </c>
      <c r="AC97" s="143">
        <f t="shared" si="46"/>
        <v>0</v>
      </c>
      <c r="AD97" s="143">
        <f t="shared" si="46"/>
        <v>0</v>
      </c>
      <c r="AE97" s="143">
        <f t="shared" si="46"/>
        <v>0</v>
      </c>
      <c r="AF97" s="143">
        <f t="shared" si="46"/>
        <v>0</v>
      </c>
      <c r="AG97" s="143">
        <f t="shared" si="46"/>
        <v>0</v>
      </c>
      <c r="AH97" s="143">
        <f t="shared" si="46"/>
        <v>0</v>
      </c>
      <c r="AI97" s="143">
        <f t="shared" si="46"/>
        <v>0</v>
      </c>
      <c r="AJ97" s="143"/>
      <c r="AK97" s="143" t="s">
        <v>148</v>
      </c>
      <c r="AL97" s="143"/>
      <c r="AM97" s="143">
        <f>SQRT(SUM(T97:AI97))</f>
        <v>5.142682746722814</v>
      </c>
      <c r="AN97" s="143"/>
      <c r="AO97" s="87">
        <f t="shared" si="23"/>
        <v>19.599999999999962</v>
      </c>
      <c r="AP97" s="126" t="str">
        <f t="shared" si="14"/>
        <v>0.0001-0.565885144755578i</v>
      </c>
      <c r="AQ97" s="105" t="str">
        <f t="shared" si="15"/>
        <v>0.000000001</v>
      </c>
      <c r="AR97" s="105" t="str">
        <f t="shared" si="16"/>
        <v>0.000192558139534884+0.377413953488371i</v>
      </c>
      <c r="AS97" s="93" t="str">
        <f t="shared" si="12"/>
        <v>2.30607627906977+0.0001i</v>
      </c>
      <c r="AU97" s="87" t="str">
        <f t="shared" si="13"/>
        <v>0.000192559139534884+0.377413953488371i</v>
      </c>
      <c r="AV97" s="87" t="str">
        <f t="shared" si="17"/>
        <v>0.000406314668650645+0.870345384785388i</v>
      </c>
      <c r="AW97" s="87" t="str">
        <f t="shared" si="18"/>
        <v>2.3062688382093+0.377513953488371i</v>
      </c>
      <c r="AX97" s="87" t="str">
        <f t="shared" si="19"/>
        <v>0.0603334375874531+0.367506448594388i</v>
      </c>
      <c r="AY97" s="87" t="str">
        <f t="shared" si="20"/>
        <v>0.0604334375874531-0.19837869616119i</v>
      </c>
      <c r="AZ97" s="87">
        <f t="shared" si="21"/>
        <v>19.599999999999962</v>
      </c>
      <c r="BA97" s="87">
        <f t="shared" si="22"/>
        <v>0.20737962163445647</v>
      </c>
      <c r="BL97" s="104">
        <f t="shared" si="41"/>
        <v>0</v>
      </c>
      <c r="BM97" s="87">
        <f t="shared" si="42"/>
        <v>0</v>
      </c>
      <c r="BN97" s="87"/>
      <c r="BO97" s="87"/>
      <c r="BP97" s="87"/>
      <c r="BQ97" s="87"/>
      <c r="BR97" s="87"/>
    </row>
    <row r="98" spans="2:70" x14ac:dyDescent="0.25">
      <c r="B98" s="199" t="str">
        <f>"Main Capacitor Fuse: "&amp;ROUND(D34,0)&amp;" (Minimum Amps)"</f>
        <v>Main Capacitor Fuse: 324 (Minimum Amps)</v>
      </c>
      <c r="C98" s="143"/>
      <c r="D98" s="143"/>
      <c r="E98" s="143"/>
      <c r="G98" s="143"/>
      <c r="H98" s="138">
        <f>J71</f>
        <v>11</v>
      </c>
      <c r="I98" s="203">
        <f>J72*K86</f>
        <v>0</v>
      </c>
      <c r="J98" s="143"/>
      <c r="K98" s="150" t="s">
        <v>239</v>
      </c>
      <c r="L98" s="98" t="s">
        <v>238</v>
      </c>
      <c r="N98" s="143"/>
      <c r="O98" s="143"/>
      <c r="P98" s="143"/>
      <c r="Q98" s="143"/>
      <c r="R98" s="156" t="s">
        <v>141</v>
      </c>
      <c r="S98" s="143"/>
      <c r="T98" s="265">
        <f>T92*T92</f>
        <v>129761.69906108882</v>
      </c>
      <c r="U98" s="265">
        <f t="shared" ref="U98:AI98" si="47">U92*U92</f>
        <v>0</v>
      </c>
      <c r="V98" s="265">
        <f t="shared" si="47"/>
        <v>0</v>
      </c>
      <c r="W98" s="265">
        <f t="shared" si="47"/>
        <v>0</v>
      </c>
      <c r="X98" s="265">
        <f t="shared" si="47"/>
        <v>10000</v>
      </c>
      <c r="Y98" s="265">
        <f t="shared" si="47"/>
        <v>0</v>
      </c>
      <c r="Z98" s="265">
        <f t="shared" si="47"/>
        <v>0</v>
      </c>
      <c r="AA98" s="265">
        <f t="shared" si="47"/>
        <v>0</v>
      </c>
      <c r="AB98" s="265">
        <f t="shared" si="47"/>
        <v>0</v>
      </c>
      <c r="AC98" s="265">
        <f t="shared" si="47"/>
        <v>0</v>
      </c>
      <c r="AD98" s="265">
        <f t="shared" si="47"/>
        <v>0</v>
      </c>
      <c r="AE98" s="265">
        <f t="shared" si="47"/>
        <v>0</v>
      </c>
      <c r="AF98" s="265">
        <f t="shared" si="47"/>
        <v>0</v>
      </c>
      <c r="AG98" s="265">
        <f t="shared" si="47"/>
        <v>0</v>
      </c>
      <c r="AH98" s="265">
        <f t="shared" si="47"/>
        <v>0</v>
      </c>
      <c r="AI98" s="265">
        <f t="shared" si="47"/>
        <v>0</v>
      </c>
      <c r="AJ98" s="143"/>
      <c r="AK98" s="143" t="s">
        <v>149</v>
      </c>
      <c r="AL98" s="143"/>
      <c r="AM98" s="143">
        <f>SQRT(SUM(T98:AI98))</f>
        <v>373.8471600281174</v>
      </c>
      <c r="AN98" s="143"/>
      <c r="AO98" s="87">
        <f t="shared" si="23"/>
        <v>19.799999999999962</v>
      </c>
      <c r="AP98" s="126" t="str">
        <f t="shared" si="14"/>
        <v>0.0001-0.56016913319239i</v>
      </c>
      <c r="AQ98" s="105" t="str">
        <f t="shared" si="15"/>
        <v>0.000000001</v>
      </c>
      <c r="AR98" s="105" t="str">
        <f t="shared" si="16"/>
        <v>0.000192558139534884+0.381265116279069i</v>
      </c>
      <c r="AS98" s="93" t="str">
        <f t="shared" si="12"/>
        <v>2.30607627906977+0.0001i</v>
      </c>
      <c r="AU98" s="87" t="str">
        <f t="shared" si="13"/>
        <v>0.000192559139534884+0.381265116279069i</v>
      </c>
      <c r="AV98" s="87" t="str">
        <f t="shared" si="17"/>
        <v>0.000405929552371575+0.879226459943853i</v>
      </c>
      <c r="AW98" s="87" t="str">
        <f t="shared" si="18"/>
        <v>2.3062688382093+0.381365116279069i</v>
      </c>
      <c r="AX98" s="87" t="str">
        <f t="shared" si="19"/>
        <v>0.0615342389630142+0.371057976229273i</v>
      </c>
      <c r="AY98" s="87" t="str">
        <f t="shared" si="20"/>
        <v>0.0616342389630142-0.189111156963117i</v>
      </c>
      <c r="AZ98" s="87">
        <f t="shared" si="21"/>
        <v>19.799999999999962</v>
      </c>
      <c r="BA98" s="87">
        <f t="shared" si="22"/>
        <v>0.19890150602868398</v>
      </c>
      <c r="BL98" s="104">
        <f t="shared" si="41"/>
        <v>0</v>
      </c>
      <c r="BM98" s="87">
        <f t="shared" si="42"/>
        <v>0</v>
      </c>
      <c r="BN98" s="87"/>
      <c r="BO98" s="87"/>
      <c r="BP98" s="87"/>
      <c r="BQ98" s="87"/>
      <c r="BR98" s="87"/>
    </row>
    <row r="99" spans="2:70" ht="17.25" x14ac:dyDescent="0.25">
      <c r="B99" s="199"/>
      <c r="C99" s="143"/>
      <c r="D99" s="143"/>
      <c r="E99" s="143"/>
      <c r="F99" s="143"/>
      <c r="G99" s="143"/>
      <c r="H99" s="205">
        <f>K71</f>
        <v>13</v>
      </c>
      <c r="I99" s="206">
        <f>K72*K86</f>
        <v>0</v>
      </c>
      <c r="J99" s="143"/>
      <c r="K99" s="150" t="s">
        <v>230</v>
      </c>
      <c r="L99" s="98" t="s">
        <v>234</v>
      </c>
      <c r="N99" s="143"/>
      <c r="O99" s="143"/>
      <c r="P99" s="143"/>
      <c r="Q99" s="143"/>
      <c r="R99" s="28" t="s">
        <v>312</v>
      </c>
      <c r="S99" s="87"/>
      <c r="T99" s="102">
        <f>$D$24/$D$26*T94*T94</f>
        <v>24.984929328417458</v>
      </c>
      <c r="U99" s="102">
        <f t="shared" ref="U99:AI99" si="48">$D$24/$D$26*U94*U94</f>
        <v>0</v>
      </c>
      <c r="V99" s="102">
        <f t="shared" si="48"/>
        <v>0</v>
      </c>
      <c r="W99" s="102">
        <f t="shared" si="48"/>
        <v>0</v>
      </c>
      <c r="X99" s="102">
        <f t="shared" si="48"/>
        <v>1.9222308001200952</v>
      </c>
      <c r="Y99" s="102">
        <f t="shared" si="48"/>
        <v>0</v>
      </c>
      <c r="Z99" s="102">
        <f t="shared" si="48"/>
        <v>0</v>
      </c>
      <c r="AA99" s="102">
        <f t="shared" si="48"/>
        <v>0</v>
      </c>
      <c r="AB99" s="102">
        <f t="shared" si="48"/>
        <v>0</v>
      </c>
      <c r="AC99" s="102">
        <f t="shared" si="48"/>
        <v>0</v>
      </c>
      <c r="AD99" s="102">
        <f t="shared" si="48"/>
        <v>0</v>
      </c>
      <c r="AE99" s="102">
        <f t="shared" si="48"/>
        <v>0</v>
      </c>
      <c r="AF99" s="102">
        <f t="shared" si="48"/>
        <v>0</v>
      </c>
      <c r="AG99" s="102">
        <f t="shared" si="48"/>
        <v>0</v>
      </c>
      <c r="AH99" s="102">
        <f t="shared" si="48"/>
        <v>0</v>
      </c>
      <c r="AI99" s="102">
        <f t="shared" si="48"/>
        <v>0</v>
      </c>
      <c r="AJ99" s="143"/>
      <c r="AK99" s="143"/>
      <c r="AL99" s="143"/>
      <c r="AM99" s="143"/>
      <c r="AN99" s="143"/>
      <c r="AO99" s="87">
        <f t="shared" si="23"/>
        <v>19.999999999999961</v>
      </c>
      <c r="AP99" s="126" t="str">
        <f t="shared" si="14"/>
        <v>0.0001-0.554567441860466i</v>
      </c>
      <c r="AQ99" s="105" t="str">
        <f t="shared" si="15"/>
        <v>0.000000001</v>
      </c>
      <c r="AR99" s="105" t="str">
        <f t="shared" si="16"/>
        <v>0.000192558139534884+0.385116279069767i</v>
      </c>
      <c r="AS99" s="93" t="str">
        <f t="shared" si="12"/>
        <v>2.30607627906977+0.0001i</v>
      </c>
      <c r="AU99" s="87" t="str">
        <f t="shared" si="13"/>
        <v>0.000192559139534884+0.385116279069767i</v>
      </c>
      <c r="AV99" s="87" t="str">
        <f t="shared" si="17"/>
        <v>0.000405544436092505+0.888107535102317i</v>
      </c>
      <c r="AW99" s="87" t="str">
        <f t="shared" si="18"/>
        <v>2.3062688382093+0.385216279069767i</v>
      </c>
      <c r="AX99" s="87" t="str">
        <f t="shared" si="19"/>
        <v>0.0627459278950383+0.374603674956911i</v>
      </c>
      <c r="AY99" s="87" t="str">
        <f t="shared" si="20"/>
        <v>0.0628459278950383-0.179963766903555i</v>
      </c>
      <c r="AZ99" s="87">
        <f t="shared" si="21"/>
        <v>19.999999999999961</v>
      </c>
      <c r="BA99" s="87">
        <f t="shared" si="22"/>
        <v>0.19062153092215328</v>
      </c>
      <c r="BL99" s="104">
        <f t="shared" si="41"/>
        <v>0</v>
      </c>
      <c r="BM99" s="87">
        <f t="shared" si="42"/>
        <v>0</v>
      </c>
      <c r="BN99" s="87"/>
      <c r="BO99" s="87"/>
      <c r="BP99" s="87"/>
      <c r="BQ99" s="87"/>
      <c r="BR99" s="87"/>
    </row>
    <row r="100" spans="2:70" x14ac:dyDescent="0.25">
      <c r="B100" s="199"/>
      <c r="C100" s="143"/>
      <c r="D100" s="143"/>
      <c r="E100" s="143"/>
      <c r="F100" s="143"/>
      <c r="G100" s="143"/>
      <c r="H100" s="138">
        <f>D77</f>
        <v>17</v>
      </c>
      <c r="I100" s="204">
        <f>D78*K86</f>
        <v>0</v>
      </c>
      <c r="J100" s="143"/>
      <c r="K100" s="213" t="s">
        <v>244</v>
      </c>
      <c r="L100" s="98" t="s">
        <v>245</v>
      </c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  <c r="Y100" s="143"/>
      <c r="Z100" s="143"/>
      <c r="AA100" s="143"/>
      <c r="AB100" s="143"/>
      <c r="AC100" s="143"/>
      <c r="AD100" s="143"/>
      <c r="AE100" s="143"/>
      <c r="AF100" s="143"/>
      <c r="AG100" s="143"/>
      <c r="AH100" s="143"/>
      <c r="AI100" s="143"/>
      <c r="AJ100" s="143"/>
      <c r="AK100" s="143"/>
      <c r="AL100" s="143"/>
      <c r="AM100" s="143"/>
      <c r="AN100" s="143"/>
      <c r="AO100" s="87">
        <f t="shared" si="23"/>
        <v>20.19999999999996</v>
      </c>
      <c r="AP100" s="126" t="str">
        <f t="shared" si="14"/>
        <v>0.0001-0.549076675109373i</v>
      </c>
      <c r="AQ100" s="105" t="str">
        <f t="shared" si="15"/>
        <v>0.000000001</v>
      </c>
      <c r="AR100" s="105" t="str">
        <f t="shared" si="16"/>
        <v>0.000192558139534884+0.388967441860464i</v>
      </c>
      <c r="AS100" s="93" t="str">
        <f t="shared" si="12"/>
        <v>2.30607627906977+0.0001i</v>
      </c>
      <c r="AU100" s="87" t="str">
        <f t="shared" si="13"/>
        <v>0.000192559139534884+0.388967441860464i</v>
      </c>
      <c r="AV100" s="87" t="str">
        <f t="shared" si="17"/>
        <v>0.000405159319813436+0.89698861026078i</v>
      </c>
      <c r="AW100" s="87" t="str">
        <f t="shared" si="18"/>
        <v>2.3062688382093+0.389067441860464i</v>
      </c>
      <c r="AX100" s="87" t="str">
        <f t="shared" si="19"/>
        <v>0.0639684670443937+0.378143496534092i</v>
      </c>
      <c r="AY100" s="87" t="str">
        <f t="shared" si="20"/>
        <v>0.0640684670443937-0.170933178575281i</v>
      </c>
      <c r="AZ100" s="87">
        <f t="shared" si="21"/>
        <v>20.19999999999996</v>
      </c>
      <c r="BA100" s="87">
        <f t="shared" si="22"/>
        <v>0.1825456655395232</v>
      </c>
      <c r="BL100" s="104">
        <f t="shared" si="41"/>
        <v>0</v>
      </c>
      <c r="BM100" s="87">
        <f t="shared" si="42"/>
        <v>0</v>
      </c>
      <c r="BN100" s="87"/>
      <c r="BO100" s="87"/>
      <c r="BP100" s="87"/>
      <c r="BQ100" s="87"/>
      <c r="BR100" s="87"/>
    </row>
    <row r="101" spans="2:70" x14ac:dyDescent="0.25">
      <c r="B101" s="200" t="str">
        <f>"Main Capacitor: Qty("&amp;D31*3&amp;"), "&amp;ROUND(D32,0)&amp;" kvar, "&amp;D29&amp;" kV, "&amp;ROUND(K32,2)&amp;" µF/Can"</f>
        <v>Main Capacitor: Qty(6), 1039 kvar, 4.8 kV, 119.58 µF/Can</v>
      </c>
      <c r="C101" s="143"/>
      <c r="D101" s="143"/>
      <c r="E101" s="143"/>
      <c r="F101" s="143"/>
      <c r="G101" s="143"/>
      <c r="H101" s="205">
        <f>E77</f>
        <v>19</v>
      </c>
      <c r="I101" s="206">
        <f>E78*K86</f>
        <v>0</v>
      </c>
      <c r="J101" s="143"/>
      <c r="K101" s="213" t="s">
        <v>246</v>
      </c>
      <c r="L101" s="98" t="s">
        <v>247</v>
      </c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O101" s="87">
        <f t="shared" si="23"/>
        <v>20.399999999999959</v>
      </c>
      <c r="AP101" s="126" t="str">
        <f t="shared" si="14"/>
        <v>0.0001-0.543693570451438i</v>
      </c>
      <c r="AQ101" s="105" t="str">
        <f t="shared" si="15"/>
        <v>0.000000001</v>
      </c>
      <c r="AR101" s="105" t="str">
        <f t="shared" si="16"/>
        <v>0.000192558139534884+0.392818604651162i</v>
      </c>
      <c r="AS101" s="93" t="str">
        <f t="shared" si="12"/>
        <v>2.30607627906977+0.0001i</v>
      </c>
      <c r="AU101" s="87" t="str">
        <f t="shared" si="13"/>
        <v>0.000192559139534884+0.392818604651162i</v>
      </c>
      <c r="AV101" s="87" t="str">
        <f t="shared" si="17"/>
        <v>0.000404774203534366+0.905869685419245i</v>
      </c>
      <c r="AW101" s="87" t="str">
        <f t="shared" si="18"/>
        <v>2.3062688382093+0.392918604651162i</v>
      </c>
      <c r="AX101" s="87" t="str">
        <f t="shared" si="19"/>
        <v>0.0652018188000927+0.381677393013325i</v>
      </c>
      <c r="AY101" s="87" t="str">
        <f t="shared" si="20"/>
        <v>0.0653018188000927-0.162016177438113i</v>
      </c>
      <c r="AZ101" s="87">
        <f t="shared" si="21"/>
        <v>20.399999999999959</v>
      </c>
      <c r="BA101" s="87">
        <f t="shared" si="22"/>
        <v>0.1746813364107862</v>
      </c>
      <c r="BL101" s="104">
        <f t="shared" si="41"/>
        <v>0</v>
      </c>
      <c r="BM101" s="87">
        <f t="shared" si="42"/>
        <v>0</v>
      </c>
      <c r="BN101" s="87"/>
      <c r="BO101" s="87"/>
      <c r="BP101" s="87"/>
      <c r="BQ101" s="87"/>
      <c r="BR101" s="87"/>
    </row>
    <row r="102" spans="2:70" x14ac:dyDescent="0.25">
      <c r="B102" s="143"/>
      <c r="C102" s="143"/>
      <c r="D102" s="143"/>
      <c r="E102" s="143"/>
      <c r="G102" s="143"/>
      <c r="H102" s="138">
        <f>F77</f>
        <v>23</v>
      </c>
      <c r="I102" s="203">
        <f>F78*K86</f>
        <v>0</v>
      </c>
      <c r="J102" s="143"/>
      <c r="K102" s="150" t="s">
        <v>231</v>
      </c>
      <c r="L102" s="98" t="s">
        <v>250</v>
      </c>
      <c r="N102" s="143"/>
      <c r="O102" s="143"/>
      <c r="P102" s="143"/>
      <c r="Q102" s="143"/>
      <c r="R102" s="143"/>
      <c r="S102" s="143" t="s">
        <v>341</v>
      </c>
      <c r="T102" s="143">
        <f>T94*T94</f>
        <v>129752.6523094143</v>
      </c>
      <c r="U102" s="143">
        <f t="shared" ref="U102:AI102" si="49">U94*U94</f>
        <v>0</v>
      </c>
      <c r="V102" s="143">
        <f t="shared" si="49"/>
        <v>0</v>
      </c>
      <c r="W102" s="143">
        <f t="shared" si="49"/>
        <v>0</v>
      </c>
      <c r="X102" s="143">
        <f t="shared" si="49"/>
        <v>9982.599565841072</v>
      </c>
      <c r="Y102" s="143">
        <f t="shared" si="49"/>
        <v>0</v>
      </c>
      <c r="Z102" s="143">
        <f t="shared" si="49"/>
        <v>0</v>
      </c>
      <c r="AA102" s="143">
        <f t="shared" si="49"/>
        <v>0</v>
      </c>
      <c r="AB102" s="143">
        <f t="shared" si="49"/>
        <v>0</v>
      </c>
      <c r="AC102" s="143">
        <f t="shared" si="49"/>
        <v>0</v>
      </c>
      <c r="AD102" s="143">
        <f t="shared" si="49"/>
        <v>0</v>
      </c>
      <c r="AE102" s="143">
        <f t="shared" si="49"/>
        <v>0</v>
      </c>
      <c r="AF102" s="143">
        <f t="shared" si="49"/>
        <v>0</v>
      </c>
      <c r="AG102" s="143">
        <f t="shared" si="49"/>
        <v>0</v>
      </c>
      <c r="AH102" s="143">
        <f t="shared" si="49"/>
        <v>0</v>
      </c>
      <c r="AI102" s="143">
        <f t="shared" si="49"/>
        <v>0</v>
      </c>
      <c r="AJ102" s="143"/>
      <c r="AK102" s="143">
        <f>SQRT(SUM(T102:AI102))</f>
        <v>373.81178669920962</v>
      </c>
      <c r="AO102" s="87">
        <f t="shared" si="23"/>
        <v>20.599999999999959</v>
      </c>
      <c r="AP102" s="126" t="str">
        <f t="shared" si="14"/>
        <v>0.0001-0.53841499209754i</v>
      </c>
      <c r="AQ102" s="105" t="str">
        <f t="shared" si="15"/>
        <v>0.000000001</v>
      </c>
      <c r="AR102" s="105" t="str">
        <f t="shared" si="16"/>
        <v>0.000192558139534884+0.39666976744186i</v>
      </c>
      <c r="AS102" s="93" t="str">
        <f t="shared" si="12"/>
        <v>2.30607627906977+0.0001i</v>
      </c>
      <c r="AU102" s="87" t="str">
        <f t="shared" si="13"/>
        <v>0.000192559139534884+0.39666976744186i</v>
      </c>
      <c r="AV102" s="87" t="str">
        <f t="shared" si="17"/>
        <v>0.000404389087255296+0.914750760577709i</v>
      </c>
      <c r="AW102" s="87" t="str">
        <f t="shared" si="18"/>
        <v>2.3062688382093+0.39676976744186i</v>
      </c>
      <c r="AX102" s="87" t="str">
        <f t="shared" si="19"/>
        <v>0.0664459452820669+0.385205316744632i</v>
      </c>
      <c r="AY102" s="87" t="str">
        <f t="shared" si="20"/>
        <v>0.0665459452820669-0.153209675352908i</v>
      </c>
      <c r="AZ102" s="87">
        <f t="shared" si="21"/>
        <v>20.599999999999959</v>
      </c>
      <c r="BA102" s="87">
        <f t="shared" si="22"/>
        <v>0.16703762287349311</v>
      </c>
      <c r="BL102" s="104">
        <f t="shared" si="41"/>
        <v>0</v>
      </c>
      <c r="BM102" s="87">
        <f t="shared" si="42"/>
        <v>0</v>
      </c>
      <c r="BN102" s="87"/>
      <c r="BO102" s="87"/>
      <c r="BP102" s="87"/>
      <c r="BQ102" s="87"/>
      <c r="BR102" s="87"/>
    </row>
    <row r="103" spans="2:70" x14ac:dyDescent="0.25">
      <c r="B103" s="143"/>
      <c r="C103" s="143"/>
      <c r="D103" s="152"/>
      <c r="E103" s="143"/>
      <c r="F103" s="152"/>
      <c r="G103" s="143"/>
      <c r="H103" s="205">
        <f>G77</f>
        <v>25</v>
      </c>
      <c r="I103" s="206">
        <f>G78*K86</f>
        <v>0</v>
      </c>
      <c r="J103" s="143"/>
      <c r="K103" s="150" t="s">
        <v>232</v>
      </c>
      <c r="L103" s="98" t="s">
        <v>235</v>
      </c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  <c r="Y103" s="143"/>
      <c r="Z103" s="143"/>
      <c r="AA103" s="143"/>
      <c r="AB103" s="143"/>
      <c r="AC103" s="143"/>
      <c r="AD103" s="143"/>
      <c r="AE103" s="143"/>
      <c r="AF103" s="143"/>
      <c r="AG103" s="143"/>
      <c r="AH103" s="143"/>
      <c r="AI103" s="143"/>
      <c r="AJ103" s="143"/>
      <c r="AK103" s="143"/>
      <c r="AO103" s="87">
        <f t="shared" si="23"/>
        <v>20.799999999999958</v>
      </c>
      <c r="AP103" s="126" t="str">
        <f t="shared" si="14"/>
        <v>0.0001-0.533237924865833i</v>
      </c>
      <c r="AQ103" s="105" t="str">
        <f t="shared" si="15"/>
        <v>0.000000001</v>
      </c>
      <c r="AR103" s="105" t="str">
        <f t="shared" si="16"/>
        <v>0.000192558139534884+0.400520930232557i</v>
      </c>
      <c r="AS103" s="93" t="str">
        <f t="shared" si="12"/>
        <v>2.30607627906977+0.0001i</v>
      </c>
      <c r="AU103" s="87" t="str">
        <f t="shared" si="13"/>
        <v>0.000192559139534884+0.400520930232557i</v>
      </c>
      <c r="AV103" s="87" t="str">
        <f t="shared" si="17"/>
        <v>0.000404003970976226+0.923631835736172i</v>
      </c>
      <c r="AW103" s="87" t="str">
        <f t="shared" si="18"/>
        <v>2.3062688382093+0.400620930232557i</v>
      </c>
      <c r="AX103" s="87" t="str">
        <f t="shared" si="19"/>
        <v>0.0677008083439587+0.388727220377314i</v>
      </c>
      <c r="AY103" s="87" t="str">
        <f t="shared" si="20"/>
        <v>0.0678008083439587-0.144510704488519i</v>
      </c>
      <c r="AZ103" s="87">
        <f t="shared" si="21"/>
        <v>20.799999999999958</v>
      </c>
      <c r="BA103" s="87">
        <f t="shared" si="22"/>
        <v>0.1596254783042553</v>
      </c>
      <c r="BL103" s="104">
        <f t="shared" si="41"/>
        <v>0</v>
      </c>
      <c r="BM103" s="87">
        <f t="shared" si="42"/>
        <v>0</v>
      </c>
      <c r="BN103" s="87"/>
      <c r="BO103" s="87"/>
      <c r="BP103" s="87"/>
      <c r="BQ103" s="87"/>
      <c r="BR103" s="87"/>
    </row>
    <row r="104" spans="2:70" x14ac:dyDescent="0.25">
      <c r="B104" s="153"/>
      <c r="C104" s="153"/>
      <c r="D104" s="223"/>
      <c r="E104" s="153"/>
      <c r="F104" s="198"/>
      <c r="G104" s="143"/>
      <c r="H104" s="90">
        <f>H77</f>
        <v>29</v>
      </c>
      <c r="I104" s="203">
        <f>H78*K86</f>
        <v>0</v>
      </c>
      <c r="J104" s="143"/>
      <c r="K104" s="150" t="s">
        <v>237</v>
      </c>
      <c r="L104" s="214" t="s">
        <v>249</v>
      </c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  <c r="Y104" s="143"/>
      <c r="Z104" s="143"/>
      <c r="AA104" s="143"/>
      <c r="AB104" s="143"/>
      <c r="AC104" s="143"/>
      <c r="AD104" s="143"/>
      <c r="AE104" s="143"/>
      <c r="AF104" s="143"/>
      <c r="AG104" s="143"/>
      <c r="AH104" s="143"/>
      <c r="AI104" s="143"/>
      <c r="AJ104" s="143"/>
      <c r="AK104" s="143"/>
      <c r="AO104" s="87">
        <f t="shared" si="23"/>
        <v>20.999999999999957</v>
      </c>
      <c r="AP104" s="126" t="str">
        <f t="shared" si="14"/>
        <v>0.0001-0.528159468438539i</v>
      </c>
      <c r="AQ104" s="105" t="str">
        <f t="shared" si="15"/>
        <v>0.000000001</v>
      </c>
      <c r="AR104" s="105" t="str">
        <f t="shared" si="16"/>
        <v>0.000192558139534884+0.404372093023255i</v>
      </c>
      <c r="AS104" s="93" t="str">
        <f t="shared" si="12"/>
        <v>2.30607627906977+0.0001i</v>
      </c>
      <c r="AU104" s="87" t="str">
        <f t="shared" si="13"/>
        <v>0.000192559139534884+0.404372093023255i</v>
      </c>
      <c r="AV104" s="87" t="str">
        <f t="shared" si="17"/>
        <v>0.000403618854697156+0.932512910894637i</v>
      </c>
      <c r="AW104" s="87" t="str">
        <f t="shared" si="18"/>
        <v>2.3062688382093+0.404472093023255i</v>
      </c>
      <c r="AX104" s="87" t="str">
        <f t="shared" si="19"/>
        <v>0.0689663695759242+0.392243056861678i</v>
      </c>
      <c r="AY104" s="87" t="str">
        <f t="shared" si="20"/>
        <v>0.0690663695759242-0.135916411576861i</v>
      </c>
      <c r="AZ104" s="87">
        <f t="shared" si="21"/>
        <v>20.999999999999957</v>
      </c>
      <c r="BA104" s="87">
        <f t="shared" si="22"/>
        <v>0.15245797565994643</v>
      </c>
      <c r="BL104" s="104">
        <f t="shared" si="41"/>
        <v>0</v>
      </c>
      <c r="BM104" s="87">
        <f t="shared" si="42"/>
        <v>0</v>
      </c>
      <c r="BN104" s="87"/>
      <c r="BO104" s="87"/>
      <c r="BP104" s="87"/>
      <c r="BQ104" s="87"/>
      <c r="BR104" s="87"/>
    </row>
    <row r="105" spans="2:70" x14ac:dyDescent="0.25">
      <c r="B105" s="324" t="str">
        <f>D8&amp;"kV, "&amp;D11&amp;"Hz High-Pass Harmonic Filter, Wye-Connected"</f>
        <v>6.9kV, 60Hz High-Pass Harmonic Filter, Wye-Connected</v>
      </c>
      <c r="C105" s="324"/>
      <c r="D105" s="324"/>
      <c r="E105" s="324"/>
      <c r="F105" s="161"/>
      <c r="G105" s="143"/>
      <c r="H105" s="205">
        <f>I77</f>
        <v>31</v>
      </c>
      <c r="I105" s="206">
        <f>I78*K86</f>
        <v>0</v>
      </c>
      <c r="J105" s="143"/>
      <c r="K105" s="87"/>
      <c r="L105" s="87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  <c r="Y105" s="143"/>
      <c r="Z105" s="143"/>
      <c r="AA105" s="143"/>
      <c r="AB105" s="143"/>
      <c r="AC105" s="143"/>
      <c r="AD105" s="143"/>
      <c r="AE105" s="143"/>
      <c r="AF105" s="143"/>
      <c r="AG105" s="143"/>
      <c r="AH105" s="143"/>
      <c r="AI105" s="143"/>
      <c r="AJ105" s="143"/>
      <c r="AK105" s="143"/>
      <c r="AO105" s="87">
        <f t="shared" si="23"/>
        <v>21.199999999999957</v>
      </c>
      <c r="AP105" s="126" t="str">
        <f t="shared" si="14"/>
        <v>0.0001-0.523176831943836i</v>
      </c>
      <c r="AQ105" s="105" t="str">
        <f t="shared" si="15"/>
        <v>0.000000001</v>
      </c>
      <c r="AR105" s="105" t="str">
        <f t="shared" si="16"/>
        <v>0.000192558139534884+0.408223255813953i</v>
      </c>
      <c r="AS105" s="93" t="str">
        <f t="shared" si="12"/>
        <v>2.30607627906977+0.0001i</v>
      </c>
      <c r="AU105" s="87" t="str">
        <f t="shared" si="13"/>
        <v>0.000192559139534884+0.408223255813953i</v>
      </c>
      <c r="AV105" s="87" t="str">
        <f t="shared" si="17"/>
        <v>0.000403233738418087+0.941393986053102i</v>
      </c>
      <c r="AW105" s="87" t="str">
        <f t="shared" si="18"/>
        <v>2.3062688382093+0.408323255813953i</v>
      </c>
      <c r="AX105" s="87" t="str">
        <f t="shared" si="19"/>
        <v>0.0702425903074461+0.39575277945074i</v>
      </c>
      <c r="AY105" s="87" t="str">
        <f t="shared" si="20"/>
        <v>0.0703425903074461-0.127424052493096i</v>
      </c>
      <c r="AZ105" s="87">
        <f t="shared" si="21"/>
        <v>21.199999999999957</v>
      </c>
      <c r="BA105" s="87">
        <f t="shared" si="22"/>
        <v>0.14555057253382583</v>
      </c>
      <c r="BL105" s="104">
        <f t="shared" si="41"/>
        <v>0</v>
      </c>
      <c r="BM105" s="87">
        <f t="shared" si="42"/>
        <v>0</v>
      </c>
      <c r="BN105" s="87"/>
      <c r="BO105" s="87"/>
      <c r="BP105" s="87"/>
      <c r="BQ105" s="87"/>
      <c r="BR105" s="87"/>
    </row>
    <row r="106" spans="2:70" x14ac:dyDescent="0.25">
      <c r="B106" s="318" t="str">
        <f>FIXED(D9/1000,2)&amp;" MVAR 3-Phase, "&amp;FIXED(D10,1)&amp;" Tuning"</f>
        <v>4.30 MVAR 3-Phase, 24.0 Tuning</v>
      </c>
      <c r="C106" s="318"/>
      <c r="D106" s="318"/>
      <c r="E106" s="318"/>
      <c r="F106" s="143"/>
      <c r="G106" s="143"/>
      <c r="H106" s="138">
        <f>J77</f>
        <v>35</v>
      </c>
      <c r="I106" s="203">
        <f>J78*K86</f>
        <v>0</v>
      </c>
      <c r="J106" s="143"/>
      <c r="K106" s="87"/>
      <c r="L106" s="87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  <c r="Y106" s="143"/>
      <c r="Z106" s="143"/>
      <c r="AA106" s="143"/>
      <c r="AB106" s="143"/>
      <c r="AC106" s="143"/>
      <c r="AD106" s="143"/>
      <c r="AE106" s="143"/>
      <c r="AF106" s="143"/>
      <c r="AG106" s="143"/>
      <c r="AH106" s="143"/>
      <c r="AI106" s="143"/>
      <c r="AJ106" s="143"/>
      <c r="AK106" s="143"/>
      <c r="AO106" s="87">
        <f t="shared" si="23"/>
        <v>21.399999999999956</v>
      </c>
      <c r="AP106" s="126" t="str">
        <f t="shared" si="14"/>
        <v>0.0001-0.518287328841557i</v>
      </c>
      <c r="AQ106" s="105" t="str">
        <f t="shared" si="15"/>
        <v>0.000000001</v>
      </c>
      <c r="AR106" s="105" t="str">
        <f t="shared" si="16"/>
        <v>0.000192558139534884+0.41207441860465i</v>
      </c>
      <c r="AS106" s="93" t="str">
        <f t="shared" si="12"/>
        <v>2.30607627906977+0.0001i</v>
      </c>
      <c r="AU106" s="87" t="str">
        <f t="shared" si="13"/>
        <v>0.000192559139534884+0.41207441860465i</v>
      </c>
      <c r="AV106" s="87" t="str">
        <f t="shared" si="17"/>
        <v>0.000402848622139017+0.950275061211564i</v>
      </c>
      <c r="AW106" s="87" t="str">
        <f t="shared" si="18"/>
        <v>2.3062688382093+0.41217441860465i</v>
      </c>
      <c r="AX106" s="87" t="str">
        <f t="shared" si="19"/>
        <v>0.0715294316101608+0.399256341701895i</v>
      </c>
      <c r="AY106" s="87" t="str">
        <f t="shared" si="20"/>
        <v>0.0716294316101608-0.119030987139662i</v>
      </c>
      <c r="AZ106" s="87">
        <f t="shared" si="21"/>
        <v>21.399999999999956</v>
      </c>
      <c r="BA106" s="87">
        <f t="shared" si="22"/>
        <v>0.13892138558277153</v>
      </c>
      <c r="BL106" s="104">
        <f t="shared" si="41"/>
        <v>0</v>
      </c>
      <c r="BM106" s="87">
        <f t="shared" si="42"/>
        <v>0</v>
      </c>
      <c r="BN106" s="87"/>
      <c r="BO106" s="87"/>
      <c r="BP106" s="87"/>
      <c r="BQ106" s="87"/>
      <c r="BR106" s="87"/>
    </row>
    <row r="107" spans="2:70" x14ac:dyDescent="0.25">
      <c r="B107" s="143"/>
      <c r="C107" s="143"/>
      <c r="D107" s="143"/>
      <c r="E107" s="143"/>
      <c r="F107" s="143"/>
      <c r="G107" s="143"/>
      <c r="H107" s="205">
        <f>K77</f>
        <v>37</v>
      </c>
      <c r="I107" s="208">
        <f>K78*K86</f>
        <v>0</v>
      </c>
      <c r="J107" s="87"/>
      <c r="K107" s="87"/>
      <c r="L107" s="87"/>
      <c r="N107" s="143"/>
      <c r="O107" s="143"/>
      <c r="P107" s="143"/>
      <c r="Q107" s="143"/>
      <c r="R107" s="143"/>
      <c r="S107" s="143"/>
      <c r="T107" s="143"/>
      <c r="U107" s="143"/>
      <c r="V107" s="143"/>
      <c r="W107" s="143"/>
      <c r="X107" s="143"/>
      <c r="Y107" s="143"/>
      <c r="Z107" s="143"/>
      <c r="AA107" s="143"/>
      <c r="AB107" s="143"/>
      <c r="AC107" s="143"/>
      <c r="AD107" s="143"/>
      <c r="AE107" s="143"/>
      <c r="AF107" s="143"/>
      <c r="AG107" s="143"/>
      <c r="AH107" s="143"/>
      <c r="AI107" s="143"/>
      <c r="AJ107" s="143"/>
      <c r="AK107" s="143"/>
      <c r="AO107" s="87">
        <f t="shared" si="23"/>
        <v>21.599999999999955</v>
      </c>
      <c r="AP107" s="126" t="str">
        <f t="shared" si="14"/>
        <v>0.0001-0.513488372093024i</v>
      </c>
      <c r="AQ107" s="105" t="str">
        <f t="shared" si="15"/>
        <v>0.000000001</v>
      </c>
      <c r="AR107" s="105" t="str">
        <f t="shared" si="16"/>
        <v>0.000192558139534884+0.415925581395348i</v>
      </c>
      <c r="AS107" s="93" t="str">
        <f t="shared" si="12"/>
        <v>2.30607627906977+0.0001i</v>
      </c>
      <c r="AU107" s="87" t="str">
        <f t="shared" si="13"/>
        <v>0.000192559139534884+0.415925581395348i</v>
      </c>
      <c r="AV107" s="87" t="str">
        <f t="shared" si="17"/>
        <v>0.000402463505859947+0.959156136370029i</v>
      </c>
      <c r="AW107" s="87" t="str">
        <f t="shared" si="18"/>
        <v>2.3062688382093+0.416025581395348i</v>
      </c>
      <c r="AX107" s="87" t="str">
        <f t="shared" si="19"/>
        <v>0.0728268543006966+0.402753697478564i</v>
      </c>
      <c r="AY107" s="87" t="str">
        <f t="shared" si="20"/>
        <v>0.0729268543006966-0.11073467461446i</v>
      </c>
      <c r="AZ107" s="87">
        <f t="shared" si="21"/>
        <v>21.599999999999955</v>
      </c>
      <c r="BA107" s="87">
        <f t="shared" si="22"/>
        <v>0.13259145613562498</v>
      </c>
      <c r="BL107" s="104">
        <f t="shared" si="41"/>
        <v>0</v>
      </c>
      <c r="BM107" s="87">
        <f t="shared" si="42"/>
        <v>0</v>
      </c>
      <c r="BN107" s="87"/>
      <c r="BO107" s="87"/>
      <c r="BP107" s="87"/>
      <c r="BQ107" s="87"/>
      <c r="BR107" s="87"/>
    </row>
    <row r="108" spans="2:70" ht="15.75" thickBot="1" x14ac:dyDescent="0.3">
      <c r="H108" s="209" t="s">
        <v>226</v>
      </c>
      <c r="I108" s="210">
        <f>BM109</f>
        <v>560.77074004217604</v>
      </c>
      <c r="J108" s="87" t="s">
        <v>0</v>
      </c>
      <c r="K108" s="87"/>
      <c r="L108" s="87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  <c r="Y108" s="143"/>
      <c r="Z108" s="143"/>
      <c r="AA108" s="143"/>
      <c r="AB108" s="143"/>
      <c r="AC108" s="143"/>
      <c r="AD108" s="143"/>
      <c r="AE108" s="143"/>
      <c r="AF108" s="143"/>
      <c r="AG108" s="143"/>
      <c r="AH108" s="143"/>
      <c r="AI108" s="143"/>
      <c r="AJ108" s="143"/>
      <c r="AK108" s="143"/>
      <c r="AO108" s="87">
        <f t="shared" si="23"/>
        <v>21.799999999999955</v>
      </c>
      <c r="AP108" s="126" t="str">
        <f t="shared" si="14"/>
        <v>0.0001-0.508777469596758i</v>
      </c>
      <c r="AQ108" s="105" t="str">
        <f t="shared" si="15"/>
        <v>0.000000001</v>
      </c>
      <c r="AR108" s="105" t="str">
        <f t="shared" si="16"/>
        <v>0.000192558139534884+0.419776744186046i</v>
      </c>
      <c r="AS108" s="93" t="str">
        <f t="shared" ref="AS108:AS171" si="50">COMPLEX($D$17,0.0001)</f>
        <v>2.30607627906977+0.0001i</v>
      </c>
      <c r="AU108" s="87" t="str">
        <f t="shared" si="13"/>
        <v>0.000192559139534884+0.419776744186046i</v>
      </c>
      <c r="AV108" s="87" t="str">
        <f t="shared" si="17"/>
        <v>0.000402078389580877+0.968037211528494i</v>
      </c>
      <c r="AW108" s="87" t="str">
        <f t="shared" si="18"/>
        <v>2.3062688382093+0.419876744186046i</v>
      </c>
      <c r="AX108" s="87" t="str">
        <f t="shared" si="19"/>
        <v>0.0741348189435203+0.406244800951796i</v>
      </c>
      <c r="AY108" s="87" t="str">
        <f t="shared" si="20"/>
        <v>0.0742348189435203-0.102532668644962i</v>
      </c>
      <c r="AZ108" s="87">
        <f t="shared" si="21"/>
        <v>21.799999999999955</v>
      </c>
      <c r="BA108" s="87">
        <f t="shared" si="22"/>
        <v>0.1265849773197231</v>
      </c>
      <c r="BL108" s="104"/>
      <c r="BM108" s="87">
        <f>SUM(BM92:BM107)</f>
        <v>314463.82288744982</v>
      </c>
      <c r="BN108" s="87"/>
      <c r="BO108" s="87"/>
      <c r="BP108" s="87"/>
      <c r="BQ108" s="87"/>
      <c r="BR108" s="87"/>
    </row>
    <row r="109" spans="2:70" ht="15.75" thickTop="1" x14ac:dyDescent="0.25"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O109" s="87">
        <f t="shared" si="23"/>
        <v>21.999999999999954</v>
      </c>
      <c r="AP109" s="126" t="str">
        <f t="shared" si="14"/>
        <v>0.0001-0.504152219873151i</v>
      </c>
      <c r="AQ109" s="105" t="str">
        <f t="shared" si="15"/>
        <v>0.000000001</v>
      </c>
      <c r="AR109" s="105" t="str">
        <f t="shared" si="16"/>
        <v>0.000192558139534884+0.423627906976743i</v>
      </c>
      <c r="AS109" s="93" t="str">
        <f t="shared" si="50"/>
        <v>2.30607627906977+0.0001i</v>
      </c>
      <c r="AU109" s="87" t="str">
        <f t="shared" si="13"/>
        <v>0.000192559139534884+0.423627906976743i</v>
      </c>
      <c r="AV109" s="87" t="str">
        <f t="shared" si="17"/>
        <v>0.000401693273301808+0.976918286686956i</v>
      </c>
      <c r="AW109" s="87" t="str">
        <f t="shared" si="18"/>
        <v>2.3062688382093+0.423727906976743i</v>
      </c>
      <c r="AX109" s="87" t="str">
        <f t="shared" si="19"/>
        <v>0.0754532858537964+0.409729606601853i</v>
      </c>
      <c r="AY109" s="87" t="str">
        <f t="shared" si="20"/>
        <v>0.0755532858537964-0.094422613271298i</v>
      </c>
      <c r="AZ109" s="87">
        <f t="shared" si="21"/>
        <v>21.999999999999954</v>
      </c>
      <c r="BA109" s="87">
        <f t="shared" si="22"/>
        <v>0.12092943769110387</v>
      </c>
      <c r="BL109" s="104"/>
      <c r="BM109" s="87">
        <f>SQRT(BM108)</f>
        <v>560.77074004217604</v>
      </c>
      <c r="BN109" s="87" t="s">
        <v>227</v>
      </c>
      <c r="BO109" s="87"/>
      <c r="BP109" s="87"/>
      <c r="BQ109" s="87"/>
      <c r="BR109" s="87"/>
    </row>
    <row r="110" spans="2:70" x14ac:dyDescent="0.25">
      <c r="B110" s="74" t="s">
        <v>21</v>
      </c>
      <c r="C110" s="127"/>
      <c r="D110" s="127"/>
      <c r="E110" s="127"/>
      <c r="F110" s="127"/>
      <c r="G110" s="127"/>
      <c r="H110" s="127"/>
      <c r="I110" s="127"/>
      <c r="J110" s="127"/>
      <c r="K110" s="127"/>
      <c r="L110" s="127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O110" s="87">
        <f t="shared" si="23"/>
        <v>22.199999999999953</v>
      </c>
      <c r="AP110" s="126" t="str">
        <f t="shared" si="14"/>
        <v>0.0001-0.499610307982402i</v>
      </c>
      <c r="AQ110" s="105" t="str">
        <f t="shared" si="15"/>
        <v>0.000000001</v>
      </c>
      <c r="AR110" s="105" t="str">
        <f t="shared" si="16"/>
        <v>0.000192558139534884+0.427479069767441i</v>
      </c>
      <c r="AS110" s="93" t="str">
        <f t="shared" si="50"/>
        <v>2.30607627906977+0.0001i</v>
      </c>
      <c r="AU110" s="87" t="str">
        <f t="shared" si="13"/>
        <v>0.000192559139534884+0.427479069767441i</v>
      </c>
      <c r="AV110" s="87" t="str">
        <f t="shared" si="17"/>
        <v>0.000401308157022738+0.985799361845421i</v>
      </c>
      <c r="AW110" s="87" t="str">
        <f t="shared" si="18"/>
        <v>2.3062688382093+0.427579069767441i</v>
      </c>
      <c r="AX110" s="87" t="str">
        <f t="shared" si="19"/>
        <v>0.0767822151002582+0.413208069219762i</v>
      </c>
      <c r="AY110" s="87" t="str">
        <f t="shared" si="20"/>
        <v>0.0768822151002582-0.08640223876264i</v>
      </c>
      <c r="AZ110" s="87">
        <f t="shared" si="21"/>
        <v>22.199999999999953</v>
      </c>
      <c r="BA110" s="87">
        <f t="shared" si="22"/>
        <v>0.1156556175112935</v>
      </c>
    </row>
    <row r="111" spans="2:70" ht="18" x14ac:dyDescent="0.35">
      <c r="B111" s="4" t="s">
        <v>36</v>
      </c>
      <c r="C111" t="s">
        <v>13</v>
      </c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O111" s="87">
        <f t="shared" si="23"/>
        <v>22.399999999999952</v>
      </c>
      <c r="AP111" s="126" t="str">
        <f t="shared" si="14"/>
        <v>0.0001-0.495149501661131i</v>
      </c>
      <c r="AQ111" s="105" t="str">
        <f t="shared" si="15"/>
        <v>0.000000001</v>
      </c>
      <c r="AR111" s="105" t="str">
        <f t="shared" si="16"/>
        <v>0.000192558139534884+0.431330232558139i</v>
      </c>
      <c r="AS111" s="93" t="str">
        <f t="shared" si="50"/>
        <v>2.30607627906977+0.0001i</v>
      </c>
      <c r="AU111" s="87" t="str">
        <f t="shared" si="13"/>
        <v>0.000192559139534884+0.431330232558139i</v>
      </c>
      <c r="AV111" s="87" t="str">
        <f t="shared" si="17"/>
        <v>0.000400923040743668+0.994680437003886i</v>
      </c>
      <c r="AW111" s="87" t="str">
        <f t="shared" si="18"/>
        <v>2.3062688382093+0.431430232558139i</v>
      </c>
      <c r="AX111" s="87" t="str">
        <f t="shared" si="19"/>
        <v>0.0781215665080835+0.416680143908828i</v>
      </c>
      <c r="AY111" s="87" t="str">
        <f t="shared" si="20"/>
        <v>0.0782215665080835-0.078469357752303i</v>
      </c>
      <c r="AZ111" s="87">
        <f t="shared" si="21"/>
        <v>22.399999999999952</v>
      </c>
      <c r="BA111" s="87">
        <f t="shared" si="22"/>
        <v>0.1107973536373385</v>
      </c>
    </row>
    <row r="112" spans="2:70" ht="18" x14ac:dyDescent="0.35">
      <c r="B112" s="4" t="s">
        <v>37</v>
      </c>
      <c r="C112" t="s">
        <v>61</v>
      </c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O112" s="87">
        <f t="shared" si="23"/>
        <v>22.599999999999952</v>
      </c>
      <c r="AP112" s="126" t="str">
        <f t="shared" si="14"/>
        <v>0.0001-0.49076764766413i</v>
      </c>
      <c r="AQ112" s="105" t="str">
        <f t="shared" si="15"/>
        <v>0.000000001</v>
      </c>
      <c r="AR112" s="105" t="str">
        <f t="shared" si="16"/>
        <v>0.000192558139534884+0.435181395348836i</v>
      </c>
      <c r="AS112" s="93" t="str">
        <f t="shared" si="50"/>
        <v>2.30607627906977+0.0001i</v>
      </c>
      <c r="AU112" s="87" t="str">
        <f t="shared" si="13"/>
        <v>0.000192559139534884+0.435181395348836i</v>
      </c>
      <c r="AV112" s="87" t="str">
        <f t="shared" si="17"/>
        <v>0.000400537924464598+1.00356151216235i</v>
      </c>
      <c r="AW112" s="87" t="str">
        <f t="shared" si="18"/>
        <v>2.3062688382093+0.435281395348836i</v>
      </c>
      <c r="AX112" s="87" t="str">
        <f t="shared" si="19"/>
        <v>0.0794712996617846+0.420145786086126i</v>
      </c>
      <c r="AY112" s="87" t="str">
        <f t="shared" si="20"/>
        <v>0.0795712996617846-0.070621861578004i</v>
      </c>
      <c r="AZ112" s="87">
        <f t="shared" si="21"/>
        <v>22.599999999999952</v>
      </c>
      <c r="BA112" s="87">
        <f t="shared" si="22"/>
        <v>0.10639097265561716</v>
      </c>
    </row>
    <row r="113" spans="2:53" ht="18" x14ac:dyDescent="0.35">
      <c r="B113" s="4" t="s">
        <v>60</v>
      </c>
      <c r="C113" t="s">
        <v>62</v>
      </c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  <c r="Y113" s="143"/>
      <c r="Z113" s="143"/>
      <c r="AA113" s="143"/>
      <c r="AB113" s="143"/>
      <c r="AC113" s="143"/>
      <c r="AD113" s="143"/>
      <c r="AE113" s="143"/>
      <c r="AF113" s="143"/>
      <c r="AG113" s="143"/>
      <c r="AH113" s="143"/>
      <c r="AI113" s="143"/>
      <c r="AJ113" s="143"/>
      <c r="AK113" s="143"/>
      <c r="AO113" s="87">
        <f t="shared" si="23"/>
        <v>22.799999999999951</v>
      </c>
      <c r="AP113" s="126" t="str">
        <f t="shared" si="14"/>
        <v>0.0001-0.486462668298655i</v>
      </c>
      <c r="AQ113" s="105" t="str">
        <f t="shared" si="15"/>
        <v>0.000000001</v>
      </c>
      <c r="AR113" s="105" t="str">
        <f t="shared" si="16"/>
        <v>0.000192558139534884+0.439032558139534i</v>
      </c>
      <c r="AS113" s="93" t="str">
        <f t="shared" si="50"/>
        <v>2.30607627906977+0.0001i</v>
      </c>
      <c r="AU113" s="87" t="str">
        <f t="shared" si="13"/>
        <v>0.000192559139534884+0.439032558139534i</v>
      </c>
      <c r="AV113" s="87" t="str">
        <f t="shared" si="17"/>
        <v>0.000400152808185529+1.01244258732081i</v>
      </c>
      <c r="AW113" s="87" t="str">
        <f t="shared" si="18"/>
        <v>2.3062688382093+0.439132558139534i</v>
      </c>
      <c r="AX113" s="87" t="str">
        <f t="shared" si="19"/>
        <v>0.0808313739081057+0.423604951483956i</v>
      </c>
      <c r="AY113" s="87" t="str">
        <f t="shared" si="20"/>
        <v>0.0809313739081057-0.062857716814699i</v>
      </c>
      <c r="AZ113" s="87">
        <f t="shared" si="21"/>
        <v>22.799999999999951</v>
      </c>
      <c r="BA113" s="87">
        <f t="shared" si="22"/>
        <v>0.10247428870604813</v>
      </c>
    </row>
    <row r="114" spans="2:53" ht="18" x14ac:dyDescent="0.35">
      <c r="B114" s="4" t="s">
        <v>28</v>
      </c>
      <c r="C114" t="s">
        <v>63</v>
      </c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  <c r="Y114" s="143"/>
      <c r="Z114" s="143"/>
      <c r="AA114" s="143"/>
      <c r="AB114" s="143"/>
      <c r="AC114" s="143"/>
      <c r="AD114" s="143"/>
      <c r="AE114" s="143"/>
      <c r="AF114" s="143"/>
      <c r="AG114" s="143"/>
      <c r="AH114" s="143"/>
      <c r="AI114" s="143"/>
      <c r="AJ114" s="143"/>
      <c r="AK114" s="143"/>
      <c r="AO114" s="87">
        <f t="shared" si="23"/>
        <v>22.99999999999995</v>
      </c>
      <c r="AP114" s="126" t="str">
        <f t="shared" si="14"/>
        <v>0.0001-0.482232558139536i</v>
      </c>
      <c r="AQ114" s="105" t="str">
        <f t="shared" si="15"/>
        <v>0.000000001</v>
      </c>
      <c r="AR114" s="105" t="str">
        <f t="shared" si="16"/>
        <v>0.000192558139534884+0.442883720930232i</v>
      </c>
      <c r="AS114" s="93" t="str">
        <f t="shared" si="50"/>
        <v>2.30607627906977+0.0001i</v>
      </c>
      <c r="AU114" s="87" t="str">
        <f t="shared" si="13"/>
        <v>0.000192559139534884+0.442883720930232i</v>
      </c>
      <c r="AV114" s="87" t="str">
        <f t="shared" si="17"/>
        <v>0.000399767691906459+1.02132366247928i</v>
      </c>
      <c r="AW114" s="87" t="str">
        <f t="shared" si="18"/>
        <v>2.3062688382093+0.442983720930232i</v>
      </c>
      <c r="AX114" s="87" t="str">
        <f t="shared" si="19"/>
        <v>0.0822017483589293+0.427057596151281i</v>
      </c>
      <c r="AY114" s="87" t="str">
        <f t="shared" si="20"/>
        <v>0.0823017483589293-0.055174961988255i</v>
      </c>
      <c r="AZ114" s="87">
        <f t="shared" si="21"/>
        <v>22.99999999999995</v>
      </c>
      <c r="BA114" s="87">
        <f t="shared" si="22"/>
        <v>9.908508572606628E-2</v>
      </c>
    </row>
    <row r="115" spans="2:53" ht="18" x14ac:dyDescent="0.35">
      <c r="B115" s="4" t="s">
        <v>38</v>
      </c>
      <c r="C115" t="s">
        <v>14</v>
      </c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  <c r="Y115" s="143"/>
      <c r="Z115" s="143"/>
      <c r="AA115" s="143"/>
      <c r="AB115" s="143"/>
      <c r="AC115" s="143"/>
      <c r="AD115" s="143"/>
      <c r="AE115" s="143"/>
      <c r="AF115" s="143"/>
      <c r="AG115" s="143"/>
      <c r="AH115" s="143"/>
      <c r="AI115" s="143"/>
      <c r="AJ115" s="143"/>
      <c r="AK115" s="143"/>
      <c r="AO115" s="87">
        <f t="shared" si="23"/>
        <v>23.19999999999995</v>
      </c>
      <c r="AP115" s="126" t="str">
        <f t="shared" si="14"/>
        <v>0.0001-0.478075380914195i</v>
      </c>
      <c r="AQ115" s="105" t="str">
        <f t="shared" si="15"/>
        <v>0.000000001</v>
      </c>
      <c r="AR115" s="105" t="str">
        <f t="shared" si="16"/>
        <v>0.000192558139534884+0.446734883720929i</v>
      </c>
      <c r="AS115" s="93" t="str">
        <f t="shared" si="50"/>
        <v>2.30607627906977+0.0001i</v>
      </c>
      <c r="AU115" s="87" t="str">
        <f t="shared" si="13"/>
        <v>0.000192559139534884+0.446734883720929i</v>
      </c>
      <c r="AV115" s="87" t="str">
        <f t="shared" si="17"/>
        <v>0.000399382575627389+1.03020473763774i</v>
      </c>
      <c r="AW115" s="87" t="str">
        <f t="shared" si="18"/>
        <v>2.3062688382093+0.446834883720929i</v>
      </c>
      <c r="AX115" s="87" t="str">
        <f t="shared" si="19"/>
        <v>0.0835823818941875+0.430503676455099i</v>
      </c>
      <c r="AY115" s="87" t="str">
        <f t="shared" si="20"/>
        <v>0.0836823818941875-0.047571704459096i</v>
      </c>
      <c r="AZ115" s="87">
        <f t="shared" si="21"/>
        <v>23.19999999999995</v>
      </c>
      <c r="BA115" s="87">
        <f t="shared" si="22"/>
        <v>9.6259067648862134E-2</v>
      </c>
    </row>
    <row r="116" spans="2:53" ht="18" x14ac:dyDescent="0.35">
      <c r="B116" s="4" t="s">
        <v>39</v>
      </c>
      <c r="C116" t="s">
        <v>15</v>
      </c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  <c r="Y116" s="143"/>
      <c r="Z116" s="143"/>
      <c r="AA116" s="143"/>
      <c r="AB116" s="143"/>
      <c r="AC116" s="143"/>
      <c r="AD116" s="143"/>
      <c r="AE116" s="143"/>
      <c r="AF116" s="143"/>
      <c r="AG116" s="143"/>
      <c r="AH116" s="143"/>
      <c r="AI116" s="143"/>
      <c r="AJ116" s="143"/>
      <c r="AK116" s="143"/>
      <c r="AO116" s="87">
        <f t="shared" si="23"/>
        <v>23.399999999999949</v>
      </c>
      <c r="AP116" s="126" t="str">
        <f t="shared" si="14"/>
        <v>0.0001-0.473989266547407i</v>
      </c>
      <c r="AQ116" s="105" t="str">
        <f t="shared" si="15"/>
        <v>0.000000001</v>
      </c>
      <c r="AR116" s="105" t="str">
        <f t="shared" si="16"/>
        <v>0.000192558139534884+0.450586046511627i</v>
      </c>
      <c r="AS116" s="93" t="str">
        <f t="shared" si="50"/>
        <v>2.30607627906977+0.0001i</v>
      </c>
      <c r="AU116" s="87" t="str">
        <f t="shared" si="13"/>
        <v>0.000192559139534884+0.450586046511627i</v>
      </c>
      <c r="AV116" s="87" t="str">
        <f t="shared" si="17"/>
        <v>0.000398997459348319+1.03908581279621i</v>
      </c>
      <c r="AW116" s="87" t="str">
        <f t="shared" si="18"/>
        <v>2.3062688382093+0.450686046511627i</v>
      </c>
      <c r="AX116" s="87" t="str">
        <f t="shared" si="19"/>
        <v>0.0849732331647901+0.43394314908184i</v>
      </c>
      <c r="AY116" s="87" t="str">
        <f t="shared" si="20"/>
        <v>0.0850732331647901-0.040046117465567i</v>
      </c>
      <c r="AZ116" s="87">
        <f t="shared" si="21"/>
        <v>23.399999999999949</v>
      </c>
      <c r="BA116" s="87">
        <f t="shared" si="22"/>
        <v>9.4027371148919889E-2</v>
      </c>
    </row>
    <row r="117" spans="2:53" ht="18" x14ac:dyDescent="0.35">
      <c r="B117" s="4" t="s">
        <v>40</v>
      </c>
      <c r="C117" t="s">
        <v>16</v>
      </c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  <c r="Y117" s="143"/>
      <c r="Z117" s="143"/>
      <c r="AA117" s="143"/>
      <c r="AB117" s="143"/>
      <c r="AC117" s="143"/>
      <c r="AD117" s="143"/>
      <c r="AE117" s="143"/>
      <c r="AF117" s="143"/>
      <c r="AG117" s="143"/>
      <c r="AH117" s="143"/>
      <c r="AI117" s="143"/>
      <c r="AJ117" s="143"/>
      <c r="AK117" s="143"/>
      <c r="AO117" s="87">
        <f t="shared" si="23"/>
        <v>23.599999999999948</v>
      </c>
      <c r="AP117" s="126" t="str">
        <f t="shared" si="14"/>
        <v>0.0001-0.469972408356327i</v>
      </c>
      <c r="AQ117" s="105" t="str">
        <f t="shared" si="15"/>
        <v>0.000000001</v>
      </c>
      <c r="AR117" s="105" t="str">
        <f t="shared" si="16"/>
        <v>0.000192558139534884+0.454437209302325i</v>
      </c>
      <c r="AS117" s="93" t="str">
        <f t="shared" si="50"/>
        <v>2.30607627906977+0.0001i</v>
      </c>
      <c r="AU117" s="87" t="str">
        <f t="shared" si="13"/>
        <v>0.000192559139534884+0.454437209302325i</v>
      </c>
      <c r="AV117" s="87" t="str">
        <f t="shared" si="17"/>
        <v>0.000398612343069249+1.04796688795467i</v>
      </c>
      <c r="AW117" s="87" t="str">
        <f t="shared" si="18"/>
        <v>2.3062688382093+0.454537209302325i</v>
      </c>
      <c r="AX117" s="87" t="str">
        <f t="shared" si="19"/>
        <v>0.0863742605955476+0.43737597103867i</v>
      </c>
      <c r="AY117" s="87" t="str">
        <f t="shared" si="20"/>
        <v>0.0864742605955476-0.032596437317657i</v>
      </c>
      <c r="AZ117" s="87">
        <f t="shared" si="21"/>
        <v>23.599999999999948</v>
      </c>
      <c r="BA117" s="87">
        <f t="shared" si="22"/>
        <v>9.2413881378019272E-2</v>
      </c>
    </row>
    <row r="118" spans="2:53" x14ac:dyDescent="0.25">
      <c r="B118" s="4" t="s">
        <v>4</v>
      </c>
      <c r="C118" t="s">
        <v>20</v>
      </c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  <c r="Y118" s="143"/>
      <c r="Z118" s="143"/>
      <c r="AA118" s="143"/>
      <c r="AB118" s="143"/>
      <c r="AC118" s="143"/>
      <c r="AD118" s="143"/>
      <c r="AE118" s="143"/>
      <c r="AF118" s="143"/>
      <c r="AG118" s="143"/>
      <c r="AH118" s="143"/>
      <c r="AI118" s="143"/>
      <c r="AJ118" s="143"/>
      <c r="AK118" s="143"/>
      <c r="AO118" s="87">
        <f t="shared" si="23"/>
        <v>23.799999999999947</v>
      </c>
      <c r="AP118" s="126" t="str">
        <f t="shared" si="14"/>
        <v>0.0001-0.466023060386947i</v>
      </c>
      <c r="AQ118" s="105" t="str">
        <f t="shared" si="15"/>
        <v>0.000000001</v>
      </c>
      <c r="AR118" s="105" t="str">
        <f t="shared" si="16"/>
        <v>0.000192558139534884+0.458288372093022i</v>
      </c>
      <c r="AS118" s="93" t="str">
        <f t="shared" si="50"/>
        <v>2.30607627906977+0.0001i</v>
      </c>
      <c r="AU118" s="87" t="str">
        <f t="shared" si="13"/>
        <v>0.000192559139534884+0.458288372093022i</v>
      </c>
      <c r="AV118" s="87" t="str">
        <f t="shared" si="17"/>
        <v>0.00039822722679018+1.05684796311313i</v>
      </c>
      <c r="AW118" s="87" t="str">
        <f t="shared" si="18"/>
        <v>2.3062688382093+0.458388372093022i</v>
      </c>
      <c r="AX118" s="87" t="str">
        <f t="shared" si="19"/>
        <v>0.0877854223881145+0.440802099654821i</v>
      </c>
      <c r="AY118" s="87" t="str">
        <f t="shared" si="20"/>
        <v>0.0878854223881145-0.025220960732126i</v>
      </c>
      <c r="AZ118" s="87">
        <f t="shared" si="21"/>
        <v>23.799999999999947</v>
      </c>
      <c r="BA118" s="87">
        <f t="shared" si="22"/>
        <v>9.1432731166627298E-2</v>
      </c>
    </row>
    <row r="119" spans="2:53" x14ac:dyDescent="0.25">
      <c r="B119" s="4" t="s">
        <v>7</v>
      </c>
      <c r="C119" t="s">
        <v>10</v>
      </c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  <c r="Y119" s="143"/>
      <c r="Z119" s="143"/>
      <c r="AA119" s="143"/>
      <c r="AB119" s="143"/>
      <c r="AC119" s="143"/>
      <c r="AD119" s="143"/>
      <c r="AE119" s="143"/>
      <c r="AF119" s="143"/>
      <c r="AG119" s="143"/>
      <c r="AH119" s="143"/>
      <c r="AI119" s="143"/>
      <c r="AJ119" s="143"/>
      <c r="AK119" s="143"/>
      <c r="AO119" s="87">
        <f t="shared" si="23"/>
        <v>23.999999999999947</v>
      </c>
      <c r="AP119" s="126" t="str">
        <f t="shared" si="14"/>
        <v>0.0001-0.462139534883722i</v>
      </c>
      <c r="AQ119" s="105" t="str">
        <f t="shared" si="15"/>
        <v>0.000000001</v>
      </c>
      <c r="AR119" s="105" t="str">
        <f t="shared" si="16"/>
        <v>0.000192558139534884+0.46213953488372i</v>
      </c>
      <c r="AS119" s="93" t="str">
        <f t="shared" si="50"/>
        <v>2.30607627906977+0.0001i</v>
      </c>
      <c r="AU119" s="87" t="str">
        <f t="shared" si="13"/>
        <v>0.000192559139534884+0.46213953488372i</v>
      </c>
      <c r="AV119" s="87" t="str">
        <f t="shared" si="17"/>
        <v>0.00039784211051111+1.0657290382716i</v>
      </c>
      <c r="AW119" s="87" t="str">
        <f t="shared" si="18"/>
        <v>2.3062688382093+0.46223953488372i</v>
      </c>
      <c r="AX119" s="87" t="str">
        <f t="shared" si="19"/>
        <v>0.0892066765239316+0.444221492582852i</v>
      </c>
      <c r="AY119" s="87" t="str">
        <f t="shared" si="20"/>
        <v>0.0893066765239316-0.01791804230087i</v>
      </c>
      <c r="AZ119" s="87">
        <f t="shared" si="21"/>
        <v>23.999999999999947</v>
      </c>
      <c r="BA119" s="87">
        <f t="shared" si="22"/>
        <v>9.1086435387745412E-2</v>
      </c>
    </row>
    <row r="120" spans="2:53" x14ac:dyDescent="0.25">
      <c r="B120" s="4" t="s">
        <v>6</v>
      </c>
      <c r="C120" t="s">
        <v>18</v>
      </c>
      <c r="N120" s="143"/>
      <c r="O120" s="143"/>
      <c r="P120" s="143"/>
      <c r="Q120" s="143"/>
      <c r="R120" s="143"/>
      <c r="S120" s="143"/>
      <c r="T120" s="143"/>
      <c r="U120" s="143"/>
      <c r="V120" s="143"/>
      <c r="W120" s="143"/>
      <c r="X120" s="143"/>
      <c r="Y120" s="143"/>
      <c r="Z120" s="143"/>
      <c r="AA120" s="143"/>
      <c r="AB120" s="143"/>
      <c r="AC120" s="143"/>
      <c r="AD120" s="143"/>
      <c r="AE120" s="143"/>
      <c r="AF120" s="143"/>
      <c r="AG120" s="143"/>
      <c r="AH120" s="143"/>
      <c r="AI120" s="143"/>
      <c r="AJ120" s="143"/>
      <c r="AK120" s="143"/>
      <c r="AO120" s="87">
        <f t="shared" si="23"/>
        <v>24.199999999999946</v>
      </c>
      <c r="AP120" s="126" t="str">
        <f t="shared" si="14"/>
        <v>0.0001-0.458320199884683i</v>
      </c>
      <c r="AQ120" s="105" t="str">
        <f t="shared" si="15"/>
        <v>0.000000001</v>
      </c>
      <c r="AR120" s="105" t="str">
        <f t="shared" si="16"/>
        <v>0.000192558139534884+0.465990697674418i</v>
      </c>
      <c r="AS120" s="93" t="str">
        <f t="shared" si="50"/>
        <v>2.30607627906977+0.0001i</v>
      </c>
      <c r="AU120" s="87" t="str">
        <f t="shared" si="13"/>
        <v>0.000192559139534884+0.465990697674418i</v>
      </c>
      <c r="AV120" s="87" t="str">
        <f t="shared" si="17"/>
        <v>0.00039745699423204+1.07461011343006i</v>
      </c>
      <c r="AW120" s="87" t="str">
        <f t="shared" si="18"/>
        <v>2.3062688382093+0.466090697674418i</v>
      </c>
      <c r="AX120" s="87" t="str">
        <f t="shared" si="19"/>
        <v>0.0906379807671727+0.447634107799881i</v>
      </c>
      <c r="AY120" s="87" t="str">
        <f t="shared" si="20"/>
        <v>0.0907379807671727-0.010686092084802i</v>
      </c>
      <c r="AZ120" s="87">
        <f t="shared" si="21"/>
        <v>24.199999999999946</v>
      </c>
      <c r="BA120" s="87">
        <f t="shared" si="22"/>
        <v>9.1365057422127582E-2</v>
      </c>
    </row>
    <row r="121" spans="2:53" ht="18" x14ac:dyDescent="0.35">
      <c r="B121" s="4" t="s">
        <v>41</v>
      </c>
      <c r="C121" t="s">
        <v>17</v>
      </c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O121" s="87">
        <f t="shared" si="23"/>
        <v>24.399999999999945</v>
      </c>
      <c r="AP121" s="126" t="str">
        <f t="shared" si="14"/>
        <v>0.0001-0.454563476934809i</v>
      </c>
      <c r="AQ121" s="105" t="str">
        <f t="shared" si="15"/>
        <v>0.000000001</v>
      </c>
      <c r="AR121" s="105" t="str">
        <f t="shared" si="16"/>
        <v>0.000192558139534884+0.469841860465115i</v>
      </c>
      <c r="AS121" s="93" t="str">
        <f t="shared" si="50"/>
        <v>2.30607627906977+0.0001i</v>
      </c>
      <c r="AU121" s="87" t="str">
        <f t="shared" si="13"/>
        <v>0.000192559139534884+0.469841860465115i</v>
      </c>
      <c r="AV121" s="87" t="str">
        <f t="shared" si="17"/>
        <v>0.00039707187795297+1.08349118858852i</v>
      </c>
      <c r="AW121" s="87" t="str">
        <f t="shared" si="18"/>
        <v>2.3062688382093+0.469941860465115i</v>
      </c>
      <c r="AX121" s="87" t="str">
        <f t="shared" si="19"/>
        <v>0.0920792926677073+0.451039903608819i</v>
      </c>
      <c r="AY121" s="87" t="str">
        <f t="shared" si="20"/>
        <v>0.0921792926677073-0.00352357332598996i</v>
      </c>
      <c r="AZ121" s="87">
        <f t="shared" si="21"/>
        <v>24.399999999999945</v>
      </c>
      <c r="BA121" s="87">
        <f t="shared" si="22"/>
        <v>9.2246612760049154E-2</v>
      </c>
    </row>
    <row r="122" spans="2:53" ht="18" x14ac:dyDescent="0.35">
      <c r="B122" s="4" t="s">
        <v>42</v>
      </c>
      <c r="C122" t="s">
        <v>19</v>
      </c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O122" s="87">
        <f t="shared" si="23"/>
        <v>24.599999999999945</v>
      </c>
      <c r="AP122" s="126" t="str">
        <f t="shared" si="14"/>
        <v>0.0001-0.450867838910948i</v>
      </c>
      <c r="AQ122" s="105" t="str">
        <f t="shared" si="15"/>
        <v>0.000000001</v>
      </c>
      <c r="AR122" s="105" t="str">
        <f t="shared" si="16"/>
        <v>0.000192558139534884+0.473693023255813i</v>
      </c>
      <c r="AS122" s="93" t="str">
        <f t="shared" si="50"/>
        <v>2.30607627906977+0.0001i</v>
      </c>
      <c r="AU122" s="87" t="str">
        <f t="shared" si="13"/>
        <v>0.000192559139534884+0.473693023255813i</v>
      </c>
      <c r="AV122" s="87" t="str">
        <f t="shared" si="17"/>
        <v>0.000396686761673901+1.09237226374699i</v>
      </c>
      <c r="AW122" s="87" t="str">
        <f t="shared" si="18"/>
        <v>2.3062688382093+0.473793023255813i</v>
      </c>
      <c r="AX122" s="87" t="str">
        <f t="shared" si="19"/>
        <v>0.0935305695640614+0.45443883863954i</v>
      </c>
      <c r="AY122" s="87" t="str">
        <f t="shared" si="20"/>
        <v>0.0936305695640614+0.00357099972859198i</v>
      </c>
      <c r="AZ122" s="87">
        <f t="shared" si="21"/>
        <v>24.599999999999945</v>
      </c>
      <c r="BA122" s="87">
        <f t="shared" si="22"/>
        <v>9.3698642444552782E-2</v>
      </c>
    </row>
    <row r="123" spans="2:53" ht="18" x14ac:dyDescent="0.35">
      <c r="B123" s="4" t="s">
        <v>43</v>
      </c>
      <c r="C123" t="s">
        <v>22</v>
      </c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O123" s="87">
        <f t="shared" si="23"/>
        <v>24.799999999999944</v>
      </c>
      <c r="AP123" s="126" t="str">
        <f t="shared" si="14"/>
        <v>0.0001-0.447231807951989i</v>
      </c>
      <c r="AQ123" s="105" t="str">
        <f t="shared" si="15"/>
        <v>0.000000001</v>
      </c>
      <c r="AR123" s="105" t="str">
        <f t="shared" si="16"/>
        <v>0.000192558139534884+0.477544186046511i</v>
      </c>
      <c r="AS123" s="93" t="str">
        <f t="shared" si="50"/>
        <v>2.30607627906977+0.0001i</v>
      </c>
      <c r="AU123" s="87" t="str">
        <f t="shared" si="13"/>
        <v>0.000192559139534884+0.477544186046511i</v>
      </c>
      <c r="AV123" s="87" t="str">
        <f t="shared" si="17"/>
        <v>0.000396301645394831+1.10125333890545i</v>
      </c>
      <c r="AW123" s="87" t="str">
        <f t="shared" si="18"/>
        <v>2.3062688382093+0.477644186046511i</v>
      </c>
      <c r="AX123" s="87" t="str">
        <f t="shared" si="19"/>
        <v>0.0949917685863814+0.457830871850017i</v>
      </c>
      <c r="AY123" s="87" t="str">
        <f t="shared" si="20"/>
        <v>0.0950917685863814+0.0105990638980279i</v>
      </c>
      <c r="AZ123" s="87">
        <f t="shared" si="21"/>
        <v>24.799999999999944</v>
      </c>
      <c r="BA123" s="87">
        <f t="shared" si="22"/>
        <v>9.5680638628723572E-2</v>
      </c>
    </row>
    <row r="124" spans="2:53" ht="18" x14ac:dyDescent="0.35">
      <c r="B124" s="4" t="s">
        <v>34</v>
      </c>
      <c r="C124" t="s">
        <v>23</v>
      </c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O124" s="87">
        <f t="shared" si="23"/>
        <v>24.999999999999943</v>
      </c>
      <c r="AP124" s="126" t="str">
        <f t="shared" si="14"/>
        <v>0.0001-0.443653953488373i</v>
      </c>
      <c r="AQ124" s="105" t="str">
        <f t="shared" si="15"/>
        <v>0.000000001</v>
      </c>
      <c r="AR124" s="105" t="str">
        <f t="shared" si="16"/>
        <v>0.000192558139534884+0.481395348837208i</v>
      </c>
      <c r="AS124" s="93" t="str">
        <f t="shared" si="50"/>
        <v>2.30607627906977+0.0001i</v>
      </c>
      <c r="AU124" s="87" t="str">
        <f t="shared" si="13"/>
        <v>0.000192559139534884+0.481395348837208i</v>
      </c>
      <c r="AV124" s="87" t="str">
        <f t="shared" si="17"/>
        <v>0.000395916529115761+1.11013441406392i</v>
      </c>
      <c r="AW124" s="87" t="str">
        <f t="shared" si="18"/>
        <v>2.3062688382093+0.481495348837208i</v>
      </c>
      <c r="AX124" s="87" t="str">
        <f t="shared" si="19"/>
        <v>0.0964628466594143+0.461215962527471i</v>
      </c>
      <c r="AY124" s="87" t="str">
        <f t="shared" si="20"/>
        <v>0.0965628466594143+0.017562009039098i</v>
      </c>
      <c r="AZ124" s="87">
        <f t="shared" si="21"/>
        <v>24.999999999999943</v>
      </c>
      <c r="BA124" s="87">
        <f t="shared" si="22"/>
        <v>9.8146867074089122E-2</v>
      </c>
    </row>
    <row r="125" spans="2:53" ht="18" x14ac:dyDescent="0.35">
      <c r="B125" s="4" t="s">
        <v>35</v>
      </c>
      <c r="C125" t="s">
        <v>24</v>
      </c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O125" s="87">
        <f t="shared" si="23"/>
        <v>25.199999999999942</v>
      </c>
      <c r="AP125" s="126" t="str">
        <f t="shared" si="14"/>
        <v>0.0001-0.44013289036545i</v>
      </c>
      <c r="AQ125" s="105" t="str">
        <f t="shared" si="15"/>
        <v>0.000000001</v>
      </c>
      <c r="AR125" s="105" t="str">
        <f t="shared" si="16"/>
        <v>0.000192558139534884+0.485246511627906i</v>
      </c>
      <c r="AS125" s="93" t="str">
        <f t="shared" si="50"/>
        <v>2.30607627906977+0.0001i</v>
      </c>
      <c r="AU125" s="87" t="str">
        <f t="shared" si="13"/>
        <v>0.000192559139534884+0.485246511627906i</v>
      </c>
      <c r="AV125" s="87" t="str">
        <f t="shared" si="17"/>
        <v>0.000395531412836691+1.11901548922238i</v>
      </c>
      <c r="AW125" s="87" t="str">
        <f t="shared" si="18"/>
        <v>2.3062688382093+0.485346511627906i</v>
      </c>
      <c r="AX125" s="87" t="str">
        <f t="shared" si="19"/>
        <v>0.0979437605054787+0.464594070289427i</v>
      </c>
      <c r="AY125" s="87" t="str">
        <f t="shared" si="20"/>
        <v>0.0980437605054787+0.024461179923977i</v>
      </c>
      <c r="AZ125" s="87">
        <f t="shared" si="21"/>
        <v>25.199999999999942</v>
      </c>
      <c r="BA125" s="87">
        <f t="shared" si="22"/>
        <v>0.10104913803357671</v>
      </c>
    </row>
    <row r="126" spans="2:53" x14ac:dyDescent="0.25">
      <c r="B126" s="4" t="s">
        <v>48</v>
      </c>
      <c r="C126" t="s">
        <v>49</v>
      </c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O126" s="87">
        <f t="shared" si="23"/>
        <v>25.399999999999942</v>
      </c>
      <c r="AP126" s="126" t="str">
        <f t="shared" si="14"/>
        <v>0.0001-0.436667277055485i</v>
      </c>
      <c r="AQ126" s="105" t="str">
        <f t="shared" si="15"/>
        <v>0.000000001</v>
      </c>
      <c r="AR126" s="105" t="str">
        <f t="shared" si="16"/>
        <v>0.000192558139534884+0.489097674418604i</v>
      </c>
      <c r="AS126" s="93" t="str">
        <f t="shared" si="50"/>
        <v>2.30607627906977+0.0001i</v>
      </c>
      <c r="AU126" s="87" t="str">
        <f t="shared" si="13"/>
        <v>0.000192559139534884+0.489097674418604i</v>
      </c>
      <c r="AV126" s="87" t="str">
        <f t="shared" si="17"/>
        <v>0.000395146296557622+1.12789656438085i</v>
      </c>
      <c r="AW126" s="87" t="str">
        <f t="shared" si="18"/>
        <v>2.3062688382093+0.489197674418604i</v>
      </c>
      <c r="AX126" s="87" t="str">
        <f t="shared" si="19"/>
        <v>0.0994344666474536+0.467965155084802i</v>
      </c>
      <c r="AY126" s="87" t="str">
        <f t="shared" si="20"/>
        <v>0.0995344666474536+0.031297878029317i</v>
      </c>
      <c r="AZ126" s="87">
        <f t="shared" si="21"/>
        <v>25.399999999999942</v>
      </c>
      <c r="BA126" s="87">
        <f t="shared" si="22"/>
        <v>0.10433919311520029</v>
      </c>
    </row>
    <row r="127" spans="2:53" ht="18" x14ac:dyDescent="0.35">
      <c r="B127" s="4" t="s">
        <v>50</v>
      </c>
      <c r="C127" t="s">
        <v>51</v>
      </c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O127" s="87">
        <f t="shared" si="23"/>
        <v>25.599999999999941</v>
      </c>
      <c r="AP127" s="126" t="str">
        <f t="shared" si="14"/>
        <v>0.0001-0.433255813953489i</v>
      </c>
      <c r="AQ127" s="105" t="str">
        <f t="shared" si="15"/>
        <v>0.000000001</v>
      </c>
      <c r="AR127" s="105" t="str">
        <f t="shared" si="16"/>
        <v>0.000192558139534884+0.492948837209301i</v>
      </c>
      <c r="AS127" s="93" t="str">
        <f t="shared" si="50"/>
        <v>2.30607627906977+0.0001i</v>
      </c>
      <c r="AU127" s="87" t="str">
        <f t="shared" si="13"/>
        <v>0.000192559139534884+0.492948837209301i</v>
      </c>
      <c r="AV127" s="87" t="str">
        <f t="shared" si="17"/>
        <v>0.000394761180278552+1.13677763953931i</v>
      </c>
      <c r="AW127" s="87" t="str">
        <f t="shared" si="18"/>
        <v>2.3062688382093+0.493048837209301i</v>
      </c>
      <c r="AX127" s="87" t="str">
        <f t="shared" si="19"/>
        <v>0.100934921411758+0.471329177194902i</v>
      </c>
      <c r="AY127" s="87" t="str">
        <f t="shared" si="20"/>
        <v>0.101034921411758+0.038073363241413i</v>
      </c>
      <c r="AZ127" s="87">
        <f t="shared" si="21"/>
        <v>25.599999999999941</v>
      </c>
      <c r="BA127" s="87">
        <f t="shared" si="22"/>
        <v>0.10797053456009512</v>
      </c>
    </row>
    <row r="128" spans="2:53" ht="18" x14ac:dyDescent="0.35">
      <c r="B128" s="4" t="s">
        <v>52</v>
      </c>
      <c r="C128" t="s">
        <v>55</v>
      </c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O128" s="87">
        <f t="shared" si="23"/>
        <v>25.79999999999994</v>
      </c>
      <c r="AP128" s="126" t="str">
        <f t="shared" si="14"/>
        <v>0.0001-0.4298972417523i</v>
      </c>
      <c r="AQ128" s="105" t="str">
        <f t="shared" si="15"/>
        <v>0.000000001</v>
      </c>
      <c r="AR128" s="105" t="str">
        <f t="shared" si="16"/>
        <v>0.000192558139534884+0.496799999999999i</v>
      </c>
      <c r="AS128" s="93" t="str">
        <f t="shared" si="50"/>
        <v>2.30607627906977+0.0001i</v>
      </c>
      <c r="AU128" s="87" t="str">
        <f t="shared" si="13"/>
        <v>0.000192559139534884+0.496799999999999i</v>
      </c>
      <c r="AV128" s="87" t="str">
        <f t="shared" si="17"/>
        <v>0.000394376063999482+1.14565871469777i</v>
      </c>
      <c r="AW128" s="87" t="str">
        <f t="shared" si="18"/>
        <v>2.3062688382093+0.496899999999999i</v>
      </c>
      <c r="AX128" s="87" t="str">
        <f t="shared" si="19"/>
        <v>0.102445080931346+0.474686097234442i</v>
      </c>
      <c r="AY128" s="87" t="str">
        <f t="shared" si="20"/>
        <v>0.102545080931346+0.044788855482142i</v>
      </c>
      <c r="AZ128" s="87">
        <f t="shared" si="21"/>
        <v>25.79999999999994</v>
      </c>
      <c r="BA128" s="87">
        <f t="shared" si="22"/>
        <v>0.11189966576633059</v>
      </c>
    </row>
    <row r="129" spans="2:53" ht="18" x14ac:dyDescent="0.35">
      <c r="B129" s="4" t="s">
        <v>54</v>
      </c>
      <c r="C129" t="s">
        <v>56</v>
      </c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O129" s="87">
        <f t="shared" si="23"/>
        <v>25.99999999999994</v>
      </c>
      <c r="AP129" s="126" t="str">
        <f t="shared" si="14"/>
        <v>0.0001-0.426590339892667i</v>
      </c>
      <c r="AQ129" s="105" t="str">
        <f t="shared" si="15"/>
        <v>0.000000001</v>
      </c>
      <c r="AR129" s="105" t="str">
        <f t="shared" si="16"/>
        <v>0.000192558139534884+0.500651162790697i</v>
      </c>
      <c r="AS129" s="93" t="str">
        <f t="shared" si="50"/>
        <v>2.30607627906977+0.0001i</v>
      </c>
      <c r="AU129" s="87" t="str">
        <f t="shared" si="13"/>
        <v>0.000192559139534884+0.500651162790697i</v>
      </c>
      <c r="AV129" s="87" t="str">
        <f t="shared" si="17"/>
        <v>0.000393990947720412+1.15453978985624i</v>
      </c>
      <c r="AW129" s="87" t="str">
        <f t="shared" si="18"/>
        <v>2.3062688382093+0.500751162790697i</v>
      </c>
      <c r="AX129" s="87" t="str">
        <f t="shared" si="19"/>
        <v>0.1039649011487+0.478035876152508i</v>
      </c>
      <c r="AY129" s="87" t="str">
        <f t="shared" si="20"/>
        <v>0.1040649011487+0.051445536259841i</v>
      </c>
      <c r="AZ129" s="87">
        <f t="shared" si="21"/>
        <v>25.99999999999994</v>
      </c>
      <c r="BA129" s="87">
        <f t="shared" si="22"/>
        <v>0.11608680739925324</v>
      </c>
    </row>
    <row r="130" spans="2:53" x14ac:dyDescent="0.25">
      <c r="B130" s="10" t="s">
        <v>70</v>
      </c>
      <c r="C130" s="10" t="s">
        <v>71</v>
      </c>
      <c r="D130" s="10"/>
      <c r="E130" s="10"/>
      <c r="F130" s="10"/>
      <c r="G130" s="10"/>
      <c r="H130" s="10"/>
      <c r="I130" s="10"/>
      <c r="J130" s="10"/>
      <c r="K130" s="10"/>
      <c r="L130" s="10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O130" s="87">
        <f t="shared" si="23"/>
        <v>26.199999999999939</v>
      </c>
      <c r="AP130" s="126" t="str">
        <f t="shared" si="14"/>
        <v>0.0001-0.423333925084326i</v>
      </c>
      <c r="AQ130" s="105" t="str">
        <f t="shared" si="15"/>
        <v>0.000000001</v>
      </c>
      <c r="AR130" s="105" t="str">
        <f t="shared" si="16"/>
        <v>0.000192558139534884+0.504502325581394i</v>
      </c>
      <c r="AS130" s="93" t="str">
        <f t="shared" si="50"/>
        <v>2.30607627906977+0.0001i</v>
      </c>
      <c r="AU130" s="87" t="str">
        <f t="shared" si="13"/>
        <v>0.000192559139534884+0.504502325581394i</v>
      </c>
      <c r="AV130" s="87" t="str">
        <f t="shared" si="17"/>
        <v>0.000393605831441343+1.1634208650147i</v>
      </c>
      <c r="AW130" s="87" t="str">
        <f t="shared" si="18"/>
        <v>2.3062688382093+0.504602325581394i</v>
      </c>
      <c r="AX130" s="87" t="str">
        <f t="shared" si="19"/>
        <v>0.105494337818822+0.481378475233467i</v>
      </c>
      <c r="AY130" s="87" t="str">
        <f t="shared" si="20"/>
        <v>0.105594337818822+0.058044550149141i</v>
      </c>
      <c r="AZ130" s="87">
        <f t="shared" si="21"/>
        <v>26.199999999999939</v>
      </c>
      <c r="BA130" s="87">
        <f t="shared" si="22"/>
        <v>0.1204961990330469</v>
      </c>
    </row>
    <row r="131" spans="2:53" x14ac:dyDescent="0.25">
      <c r="B131" s="1" t="s">
        <v>44</v>
      </c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O131" s="87">
        <f t="shared" si="23"/>
        <v>26.399999999999938</v>
      </c>
      <c r="AP131" s="126" t="str">
        <f t="shared" si="14"/>
        <v>0.0001-0.420126849894293i</v>
      </c>
      <c r="AQ131" s="105" t="str">
        <f t="shared" si="15"/>
        <v>0.000000001</v>
      </c>
      <c r="AR131" s="105" t="str">
        <f t="shared" si="16"/>
        <v>0.000192558139534884+0.508353488372092i</v>
      </c>
      <c r="AS131" s="93" t="str">
        <f t="shared" si="50"/>
        <v>2.30607627906977+0.0001i</v>
      </c>
      <c r="AU131" s="87" t="str">
        <f t="shared" si="13"/>
        <v>0.000192559139534884+0.508353488372092i</v>
      </c>
      <c r="AV131" s="87" t="str">
        <f t="shared" si="17"/>
        <v>0.000393220715162273+1.17230194017317i</v>
      </c>
      <c r="AW131" s="87" t="str">
        <f t="shared" si="18"/>
        <v>2.3062688382093+0.508453488372092i</v>
      </c>
      <c r="AX131" s="87" t="str">
        <f t="shared" si="19"/>
        <v>0.107033346512239+0.484713856097913i</v>
      </c>
      <c r="AY131" s="87" t="str">
        <f t="shared" si="20"/>
        <v>0.107133346512239+0.06458700620362i</v>
      </c>
      <c r="AZ131" s="87">
        <f t="shared" si="21"/>
        <v>26.399999999999938</v>
      </c>
      <c r="BA131" s="87">
        <f t="shared" si="22"/>
        <v>0.12509610427690354</v>
      </c>
    </row>
    <row r="132" spans="2:53" x14ac:dyDescent="0.25">
      <c r="AO132" s="87">
        <f t="shared" si="23"/>
        <v>26.599999999999937</v>
      </c>
      <c r="AP132" s="126" t="str">
        <f t="shared" si="14"/>
        <v>0.0001-0.416968001398847i</v>
      </c>
      <c r="AQ132" s="105" t="str">
        <f t="shared" si="15"/>
        <v>0.000000001</v>
      </c>
      <c r="AR132" s="105" t="str">
        <f t="shared" si="16"/>
        <v>0.000192558139534884+0.51220465116279i</v>
      </c>
      <c r="AS132" s="93" t="str">
        <f t="shared" si="50"/>
        <v>2.30607627906977+0.0001i</v>
      </c>
      <c r="AU132" s="87" t="str">
        <f t="shared" ref="AU132:AU195" si="51">IMSUM(AR132,AQ132)</f>
        <v>0.000192559139534884+0.51220465116279i</v>
      </c>
      <c r="AV132" s="87" t="str">
        <f t="shared" si="17"/>
        <v>0.000392835598883203+1.18118301533163i</v>
      </c>
      <c r="AW132" s="87" t="str">
        <f t="shared" si="18"/>
        <v>2.3062688382093+0.51230465116279i</v>
      </c>
      <c r="AX132" s="87" t="str">
        <f t="shared" si="19"/>
        <v>0.108581882617996+0.488041980703496i</v>
      </c>
      <c r="AY132" s="87" t="str">
        <f t="shared" si="20"/>
        <v>0.108681882617996+0.071073979304649i</v>
      </c>
      <c r="AZ132" s="87">
        <f t="shared" si="21"/>
        <v>26.599999999999937</v>
      </c>
      <c r="BA132" s="87">
        <f t="shared" si="22"/>
        <v>0.12985862367817369</v>
      </c>
    </row>
    <row r="133" spans="2:53" x14ac:dyDescent="0.25">
      <c r="AO133" s="87">
        <f t="shared" si="23"/>
        <v>26.799999999999937</v>
      </c>
      <c r="AP133" s="126" t="str">
        <f t="shared" ref="AP133:AP196" si="52">COMPLEX(0.0001,-1*$D$22/AO133)</f>
        <v>0.0001-0.413856299895871i</v>
      </c>
      <c r="AQ133" s="105" t="str">
        <f t="shared" ref="AQ133:AQ196" si="53">COMPLEX(0.000000001,-1*$D$23/AO133)</f>
        <v>0.000000001</v>
      </c>
      <c r="AR133" s="105" t="str">
        <f t="shared" ref="AR133:AR196" si="54">COMPLEX($D$24/$D$26,$D$24*AO133)</f>
        <v>0.000192558139534884+0.516055813953487i</v>
      </c>
      <c r="AS133" s="93" t="str">
        <f t="shared" si="50"/>
        <v>2.30607627906977+0.0001i</v>
      </c>
      <c r="AU133" s="87" t="str">
        <f t="shared" si="51"/>
        <v>0.000192559139534884+0.516055813953487i</v>
      </c>
      <c r="AV133" s="87" t="str">
        <f t="shared" ref="AV133:AV196" si="55">IMPRODUCT(AU133,AS133)</f>
        <v>0.000392450482604133+1.19006409049009i</v>
      </c>
      <c r="AW133" s="87" t="str">
        <f t="shared" ref="AW133:AW196" si="56">IMSUM(AS133,AU133)</f>
        <v>2.3062688382093+0.516155813953487i</v>
      </c>
      <c r="AX133" s="87" t="str">
        <f t="shared" ref="AX133:AX196" si="57">IMDIV(AV133,AW133)</f>
        <v>0.11013990134667+0.491362811345804i</v>
      </c>
      <c r="AY133" s="87" t="str">
        <f t="shared" ref="AY133:AY196" si="58">IMSUM(AX133,AP133)</f>
        <v>0.11023990134667+0.077506511449933i</v>
      </c>
      <c r="AZ133" s="87">
        <f t="shared" ref="AZ133:AZ196" si="59">AO133</f>
        <v>26.799999999999937</v>
      </c>
      <c r="BA133" s="87">
        <f t="shared" ref="BA133:BA196" si="60">IMABS(AY133)</f>
        <v>0.13475939732004641</v>
      </c>
    </row>
    <row r="134" spans="2:53" x14ac:dyDescent="0.25"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AO134" s="87">
        <f t="shared" ref="AO134:AO197" si="61">AO133+0.2</f>
        <v>26.999999999999936</v>
      </c>
      <c r="AP134" s="126" t="str">
        <f t="shared" si="52"/>
        <v>0.0001-0.41079069767442i</v>
      </c>
      <c r="AQ134" s="105" t="str">
        <f t="shared" si="53"/>
        <v>0.000000001</v>
      </c>
      <c r="AR134" s="105" t="str">
        <f t="shared" si="54"/>
        <v>0.000192558139534884+0.519906976744185i</v>
      </c>
      <c r="AS134" s="93" t="str">
        <f t="shared" si="50"/>
        <v>2.30607627906977+0.0001i</v>
      </c>
      <c r="AU134" s="87" t="str">
        <f t="shared" si="51"/>
        <v>0.000192559139534884+0.519906976744185i</v>
      </c>
      <c r="AV134" s="87" t="str">
        <f t="shared" si="55"/>
        <v>0.000392065366325063+1.19894516564856i</v>
      </c>
      <c r="AW134" s="87" t="str">
        <f t="shared" si="56"/>
        <v>2.3062688382093+0.520006976744185i</v>
      </c>
      <c r="AX134" s="87" t="str">
        <f t="shared" si="57"/>
        <v>0.111707357733365+0.494676310659155i</v>
      </c>
      <c r="AY134" s="87" t="str">
        <f t="shared" si="58"/>
        <v>0.111807357733365+0.083885612984735i</v>
      </c>
      <c r="AZ134" s="87">
        <f t="shared" si="59"/>
        <v>26.999999999999936</v>
      </c>
      <c r="BA134" s="87">
        <f t="shared" si="60"/>
        <v>0.13977725605098063</v>
      </c>
    </row>
    <row r="135" spans="2:53" ht="19.5" customHeight="1" x14ac:dyDescent="0.25">
      <c r="B135" s="109"/>
      <c r="C135" s="101"/>
      <c r="D135" s="108"/>
      <c r="E135" s="101"/>
      <c r="F135" s="87"/>
      <c r="G135" s="87"/>
      <c r="H135" s="87"/>
      <c r="I135" s="87"/>
      <c r="J135" s="87"/>
      <c r="K135" s="87"/>
      <c r="L135" s="87"/>
      <c r="AO135" s="87">
        <f t="shared" si="61"/>
        <v>27.199999999999935</v>
      </c>
      <c r="AP135" s="126" t="str">
        <f t="shared" si="52"/>
        <v>0.0001-0.407770177838578i</v>
      </c>
      <c r="AQ135" s="105" t="str">
        <f t="shared" si="53"/>
        <v>0.000000001</v>
      </c>
      <c r="AR135" s="105" t="str">
        <f t="shared" si="54"/>
        <v>0.000192558139534884+0.523758139534883i</v>
      </c>
      <c r="AS135" s="93" t="str">
        <f t="shared" si="50"/>
        <v>2.30607627906977+0.0001i</v>
      </c>
      <c r="AU135" s="87" t="str">
        <f t="shared" si="51"/>
        <v>0.000192559139534884+0.523758139534883i</v>
      </c>
      <c r="AV135" s="87" t="str">
        <f t="shared" si="55"/>
        <v>0.000391680250045994+1.20782624080702i</v>
      </c>
      <c r="AW135" s="87" t="str">
        <f t="shared" si="56"/>
        <v>2.3062688382093+0.523858139534883i</v>
      </c>
      <c r="AX135" s="87" t="str">
        <f t="shared" si="57"/>
        <v>0.113284206640722+0.497982441617372i</v>
      </c>
      <c r="AY135" s="87" t="str">
        <f t="shared" si="58"/>
        <v>0.113384206640722+0.090212263778794i</v>
      </c>
      <c r="AZ135" s="87">
        <f t="shared" si="59"/>
        <v>27.199999999999935</v>
      </c>
      <c r="BA135" s="87">
        <f t="shared" si="60"/>
        <v>0.14489386064164575</v>
      </c>
    </row>
    <row r="136" spans="2:53" ht="21" customHeight="1" x14ac:dyDescent="0.25">
      <c r="AO136" s="87">
        <f t="shared" si="61"/>
        <v>27.399999999999935</v>
      </c>
      <c r="AP136" s="126" t="str">
        <f t="shared" si="52"/>
        <v>0.0001-0.404793753182822i</v>
      </c>
      <c r="AQ136" s="105" t="str">
        <f t="shared" si="53"/>
        <v>0.000000001</v>
      </c>
      <c r="AR136" s="105" t="str">
        <f t="shared" si="54"/>
        <v>0.000192558139534884+0.52760930232558i</v>
      </c>
      <c r="AS136" s="93" t="str">
        <f t="shared" si="50"/>
        <v>2.30607627906977+0.0001i</v>
      </c>
      <c r="AU136" s="87" t="str">
        <f t="shared" si="51"/>
        <v>0.000192559139534884+0.52760930232558i</v>
      </c>
      <c r="AV136" s="87" t="str">
        <f t="shared" si="55"/>
        <v>0.000391295133766924+1.21670731596548i</v>
      </c>
      <c r="AW136" s="87" t="str">
        <f t="shared" si="56"/>
        <v>2.3062688382093+0.52770930232558i</v>
      </c>
      <c r="AX136" s="87" t="str">
        <f t="shared" si="57"/>
        <v>0.114870402761926+0.501281167534558i</v>
      </c>
      <c r="AY136" s="87" t="str">
        <f t="shared" si="58"/>
        <v>0.114970402761926+0.096487414351736i</v>
      </c>
      <c r="AZ136" s="87">
        <f t="shared" si="59"/>
        <v>27.399999999999935</v>
      </c>
      <c r="BA136" s="87">
        <f t="shared" si="60"/>
        <v>0.15009335308241692</v>
      </c>
    </row>
    <row r="137" spans="2:53" ht="31.5" customHeight="1" x14ac:dyDescent="0.55000000000000004">
      <c r="B137" s="118" t="s">
        <v>45</v>
      </c>
      <c r="C137" s="119"/>
      <c r="D137" s="119"/>
      <c r="E137" s="119"/>
      <c r="F137" s="119"/>
      <c r="G137" s="119"/>
      <c r="H137" s="119"/>
      <c r="I137" s="119"/>
      <c r="J137" s="119"/>
      <c r="K137" s="119"/>
      <c r="L137" s="119"/>
      <c r="AO137" s="87">
        <f t="shared" si="61"/>
        <v>27.599999999999934</v>
      </c>
      <c r="AP137" s="126" t="str">
        <f t="shared" si="52"/>
        <v>0.0001-0.40186046511628i</v>
      </c>
      <c r="AQ137" s="105" t="str">
        <f t="shared" si="53"/>
        <v>0.000000001</v>
      </c>
      <c r="AR137" s="105" t="str">
        <f t="shared" si="54"/>
        <v>0.000192558139534884+0.531460465116278i</v>
      </c>
      <c r="AS137" s="93" t="str">
        <f t="shared" si="50"/>
        <v>2.30607627906977+0.0001i</v>
      </c>
      <c r="AU137" s="87" t="str">
        <f t="shared" si="51"/>
        <v>0.000192559139534884+0.531460465116278i</v>
      </c>
      <c r="AV137" s="87" t="str">
        <f t="shared" si="55"/>
        <v>0.000390910017487854+1.22558839112395i</v>
      </c>
      <c r="AW137" s="87" t="str">
        <f t="shared" si="56"/>
        <v>2.3062688382093+0.531560465116278i</v>
      </c>
      <c r="AX137" s="87" t="str">
        <f t="shared" si="57"/>
        <v>0.116465900623712+0.504572452065806i</v>
      </c>
      <c r="AY137" s="87" t="str">
        <f t="shared" si="58"/>
        <v>0.116565900623712+0.102711986949526i</v>
      </c>
      <c r="AZ137" s="87">
        <f t="shared" si="59"/>
        <v>27.599999999999934</v>
      </c>
      <c r="BA137" s="87">
        <f t="shared" si="60"/>
        <v>0.15536203349382596</v>
      </c>
    </row>
    <row r="138" spans="2:53" ht="26.25" x14ac:dyDescent="0.4">
      <c r="B138" s="175" t="str">
        <f>"High-Pass Filter Design - Stage/Branch: "&amp;$I$9&amp;", Tuning Point: "&amp;FIXED($D$10,2)&amp;", Reference: "&amp;$I$8</f>
        <v>High-Pass Filter Design - Stage/Branch: Branch/Stage #, Tuning Point: 24.00, Reference: Enter Job Name</v>
      </c>
      <c r="C138" s="120"/>
      <c r="D138" s="120"/>
      <c r="E138" s="120"/>
      <c r="F138" s="120"/>
      <c r="G138" s="174"/>
      <c r="H138" s="174"/>
      <c r="I138" s="174"/>
      <c r="J138" s="174"/>
      <c r="K138" s="174"/>
      <c r="L138" s="177" t="s">
        <v>185</v>
      </c>
      <c r="AO138" s="87">
        <f t="shared" si="61"/>
        <v>27.799999999999933</v>
      </c>
      <c r="AP138" s="126" t="str">
        <f t="shared" si="52"/>
        <v>0.0001-0.398969382633429i</v>
      </c>
      <c r="AQ138" s="105" t="str">
        <f t="shared" si="53"/>
        <v>0.000000001</v>
      </c>
      <c r="AR138" s="105" t="str">
        <f t="shared" si="54"/>
        <v>0.000192558139534884+0.535311627906976i</v>
      </c>
      <c r="AS138" s="93" t="str">
        <f t="shared" si="50"/>
        <v>2.30607627906977+0.0001i</v>
      </c>
      <c r="AU138" s="87" t="str">
        <f t="shared" si="51"/>
        <v>0.000192559139534884+0.535311627906976i</v>
      </c>
      <c r="AV138" s="87" t="str">
        <f t="shared" si="55"/>
        <v>0.000390524901208784+1.23446946628241i</v>
      </c>
      <c r="AW138" s="87" t="str">
        <f t="shared" si="56"/>
        <v>2.3062688382093+0.535411627906976i</v>
      </c>
      <c r="AX138" s="87" t="str">
        <f t="shared" si="57"/>
        <v>0.118070654589373+0.507856259207877i</v>
      </c>
      <c r="AY138" s="87" t="str">
        <f t="shared" si="58"/>
        <v>0.118170654589373+0.108886876574448i</v>
      </c>
      <c r="AZ138" s="87">
        <f t="shared" si="59"/>
        <v>27.799999999999933</v>
      </c>
      <c r="BA138" s="87">
        <f t="shared" si="60"/>
        <v>0.16068806892927667</v>
      </c>
    </row>
    <row r="139" spans="2:53" x14ac:dyDescent="0.25"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AO139" s="87">
        <f t="shared" si="61"/>
        <v>27.999999999999932</v>
      </c>
      <c r="AP139" s="126" t="str">
        <f t="shared" si="52"/>
        <v>0.0001-0.396119601328905i</v>
      </c>
      <c r="AQ139" s="105" t="str">
        <f t="shared" si="53"/>
        <v>0.000000001</v>
      </c>
      <c r="AR139" s="105" t="str">
        <f t="shared" si="54"/>
        <v>0.000192558139534884+0.539162790697673i</v>
      </c>
      <c r="AS139" s="93" t="str">
        <f t="shared" si="50"/>
        <v>2.30607627906977+0.0001i</v>
      </c>
      <c r="AU139" s="87" t="str">
        <f t="shared" si="51"/>
        <v>0.000192559139534884+0.539162790697673i</v>
      </c>
      <c r="AV139" s="87" t="str">
        <f t="shared" si="55"/>
        <v>0.000390139784929715+1.24335054144088i</v>
      </c>
      <c r="AW139" s="87" t="str">
        <f t="shared" si="56"/>
        <v>2.3062688382093+0.539262790697673i</v>
      </c>
      <c r="AX139" s="87" t="str">
        <f t="shared" si="57"/>
        <v>0.11968461886177+0.511132553299892i</v>
      </c>
      <c r="AY139" s="87" t="str">
        <f t="shared" si="58"/>
        <v>0.11978461886177+0.115012951970987i</v>
      </c>
      <c r="AZ139" s="87">
        <f t="shared" si="59"/>
        <v>27.999999999999932</v>
      </c>
      <c r="BA139" s="87">
        <f t="shared" si="60"/>
        <v>0.16606123580456719</v>
      </c>
    </row>
    <row r="140" spans="2:53" x14ac:dyDescent="0.25"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AO140" s="87">
        <f t="shared" si="61"/>
        <v>28.199999999999932</v>
      </c>
      <c r="AP140" s="126" t="str">
        <f t="shared" si="52"/>
        <v>0.0001-0.393310242454232i</v>
      </c>
      <c r="AQ140" s="105" t="str">
        <f t="shared" si="53"/>
        <v>0.000000001</v>
      </c>
      <c r="AR140" s="105" t="str">
        <f t="shared" si="54"/>
        <v>0.000192558139534884+0.543013953488371i</v>
      </c>
      <c r="AS140" s="93" t="str">
        <f t="shared" si="50"/>
        <v>2.30607627906977+0.0001i</v>
      </c>
      <c r="AU140" s="87" t="str">
        <f t="shared" si="51"/>
        <v>0.000192559139534884+0.543013953488371i</v>
      </c>
      <c r="AV140" s="87" t="str">
        <f t="shared" si="55"/>
        <v>0.000389754668650645+1.25223161659934i</v>
      </c>
      <c r="AW140" s="87" t="str">
        <f t="shared" si="56"/>
        <v>2.3062688382093+0.543113953488371i</v>
      </c>
      <c r="AX140" s="87" t="str">
        <f t="shared" si="57"/>
        <v>0.121307747486332+0.514401299023928i</v>
      </c>
      <c r="AY140" s="87" t="str">
        <f t="shared" si="58"/>
        <v>0.121407747486332+0.121091056569696i</v>
      </c>
      <c r="AZ140" s="87">
        <f t="shared" si="59"/>
        <v>28.199999999999932</v>
      </c>
      <c r="BA140" s="87">
        <f t="shared" si="60"/>
        <v>0.1714726950008959</v>
      </c>
    </row>
    <row r="141" spans="2:53" x14ac:dyDescent="0.25"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AO141" s="87">
        <f t="shared" si="61"/>
        <v>28.399999999999931</v>
      </c>
      <c r="AP141" s="126" t="str">
        <f t="shared" si="52"/>
        <v>0.0001-0.390540452014413i</v>
      </c>
      <c r="AQ141" s="105" t="str">
        <f t="shared" si="53"/>
        <v>0.000000001</v>
      </c>
      <c r="AR141" s="105" t="str">
        <f t="shared" si="54"/>
        <v>0.000192558139534884+0.546865116279069i</v>
      </c>
      <c r="AS141" s="93" t="str">
        <f t="shared" si="50"/>
        <v>2.30607627906977+0.0001i</v>
      </c>
      <c r="AU141" s="87" t="str">
        <f t="shared" si="51"/>
        <v>0.000192559139534884+0.546865116279069i</v>
      </c>
      <c r="AV141" s="87" t="str">
        <f t="shared" si="55"/>
        <v>0.000389369552371575+1.26111269175781i</v>
      </c>
      <c r="AW141" s="87" t="str">
        <f t="shared" si="56"/>
        <v>2.3062688382093+0.546965116279069i</v>
      </c>
      <c r="AX141" s="87" t="str">
        <f t="shared" si="57"/>
        <v>0.122939994354073+0.517662461405655i</v>
      </c>
      <c r="AY141" s="87" t="str">
        <f t="shared" si="58"/>
        <v>0.123039994354073+0.127122009391242i</v>
      </c>
      <c r="AZ141" s="87">
        <f t="shared" si="59"/>
        <v>28.399999999999931</v>
      </c>
      <c r="BA141" s="87">
        <f t="shared" si="60"/>
        <v>0.17691479723956766</v>
      </c>
    </row>
    <row r="142" spans="2:53" x14ac:dyDescent="0.25"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AO142" s="87">
        <f t="shared" si="61"/>
        <v>28.59999999999993</v>
      </c>
      <c r="AP142" s="126" t="str">
        <f t="shared" si="52"/>
        <v>0.0001-0.387809399902424i</v>
      </c>
      <c r="AQ142" s="105" t="str">
        <f t="shared" si="53"/>
        <v>0.000000001</v>
      </c>
      <c r="AR142" s="105" t="str">
        <f t="shared" si="54"/>
        <v>0.000192558139534884+0.550716279069766i</v>
      </c>
      <c r="AS142" s="93" t="str">
        <f t="shared" si="50"/>
        <v>2.30607627906977+0.0001i</v>
      </c>
      <c r="AU142" s="87" t="str">
        <f t="shared" si="51"/>
        <v>0.000192559139534884+0.550716279069766i</v>
      </c>
      <c r="AV142" s="87" t="str">
        <f t="shared" si="55"/>
        <v>0.000388984436092505+1.26999376691627i</v>
      </c>
      <c r="AW142" s="87" t="str">
        <f t="shared" si="56"/>
        <v>2.3062688382093+0.550816279069766i</v>
      </c>
      <c r="AX142" s="87" t="str">
        <f t="shared" si="57"/>
        <v>0.124581313204584+0.520916005814873i</v>
      </c>
      <c r="AY142" s="87" t="str">
        <f t="shared" si="58"/>
        <v>0.124681313204584+0.133106605912449i</v>
      </c>
      <c r="AZ142" s="87">
        <f t="shared" si="59"/>
        <v>28.59999999999993</v>
      </c>
      <c r="BA142" s="87">
        <f t="shared" si="60"/>
        <v>0.18238091566814654</v>
      </c>
    </row>
    <row r="143" spans="2:53" x14ac:dyDescent="0.25"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AO143" s="87">
        <f t="shared" si="61"/>
        <v>28.79999999999993</v>
      </c>
      <c r="AP143" s="126" t="str">
        <f t="shared" si="52"/>
        <v>0.0001-0.385116279069768i</v>
      </c>
      <c r="AQ143" s="105" t="str">
        <f t="shared" si="53"/>
        <v>0.000000001</v>
      </c>
      <c r="AR143" s="105" t="str">
        <f t="shared" si="54"/>
        <v>0.000192558139534884+0.554567441860464i</v>
      </c>
      <c r="AS143" s="93" t="str">
        <f t="shared" si="50"/>
        <v>2.30607627906977+0.0001i</v>
      </c>
      <c r="AU143" s="87" t="str">
        <f t="shared" si="51"/>
        <v>0.000192559139534884+0.554567441860464i</v>
      </c>
      <c r="AV143" s="87" t="str">
        <f t="shared" si="55"/>
        <v>0.000388599319813436+1.27887484207473i</v>
      </c>
      <c r="AW143" s="87" t="str">
        <f t="shared" si="56"/>
        <v>2.3062688382093+0.554667441860464i</v>
      </c>
      <c r="AX143" s="87" t="str">
        <f t="shared" si="57"/>
        <v>0.126231657629051+0.524161897966082i</v>
      </c>
      <c r="AY143" s="87" t="str">
        <f t="shared" si="58"/>
        <v>0.126331657629051+0.139045618896314i</v>
      </c>
      <c r="AZ143" s="87">
        <f t="shared" si="59"/>
        <v>28.79999999999993</v>
      </c>
      <c r="BA143" s="87">
        <f t="shared" si="60"/>
        <v>0.18786530242054478</v>
      </c>
    </row>
    <row r="144" spans="2:53" x14ac:dyDescent="0.25"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AO144" s="87">
        <f t="shared" si="61"/>
        <v>28.999999999999929</v>
      </c>
      <c r="AP144" s="126" t="str">
        <f t="shared" si="52"/>
        <v>0.0001-0.382460304731356i</v>
      </c>
      <c r="AQ144" s="105" t="str">
        <f t="shared" si="53"/>
        <v>0.000000001</v>
      </c>
      <c r="AR144" s="105" t="str">
        <f t="shared" si="54"/>
        <v>0.000192558139534884+0.558418604651162i</v>
      </c>
      <c r="AS144" s="93" t="str">
        <f t="shared" si="50"/>
        <v>2.30607627906977+0.0001i</v>
      </c>
      <c r="AU144" s="87" t="str">
        <f t="shared" si="51"/>
        <v>0.000192559139534884+0.558418604651162i</v>
      </c>
      <c r="AV144" s="87" t="str">
        <f t="shared" si="55"/>
        <v>0.000388214203534366+1.2877559172332i</v>
      </c>
      <c r="AW144" s="87" t="str">
        <f t="shared" si="56"/>
        <v>2.3062688382093+0.558518604651162i</v>
      </c>
      <c r="AX144" s="87" t="str">
        <f t="shared" si="57"/>
        <v>0.127890981073247+0.527400103918985i</v>
      </c>
      <c r="AY144" s="87" t="str">
        <f t="shared" si="58"/>
        <v>0.127990981073247+0.144939799187629i</v>
      </c>
      <c r="AZ144" s="87">
        <f t="shared" si="59"/>
        <v>28.999999999999929</v>
      </c>
      <c r="BA144" s="87">
        <f t="shared" si="60"/>
        <v>0.1933629660111845</v>
      </c>
    </row>
    <row r="145" spans="1:53" x14ac:dyDescent="0.25"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AO145" s="87">
        <f t="shared" si="61"/>
        <v>29.199999999999928</v>
      </c>
      <c r="AP145" s="126" t="str">
        <f t="shared" si="52"/>
        <v>0.0001-0.379840713603059i</v>
      </c>
      <c r="AQ145" s="105" t="str">
        <f t="shared" si="53"/>
        <v>0.000000001</v>
      </c>
      <c r="AR145" s="105" t="str">
        <f t="shared" si="54"/>
        <v>0.000192558139534884+0.562269767441859i</v>
      </c>
      <c r="AS145" s="93" t="str">
        <f t="shared" si="50"/>
        <v>2.30607627906977+0.0001i</v>
      </c>
      <c r="AU145" s="87" t="str">
        <f t="shared" si="51"/>
        <v>0.000192559139534884+0.562269767441859i</v>
      </c>
      <c r="AV145" s="87" t="str">
        <f t="shared" si="55"/>
        <v>0.000387829087255296+1.29663699239166i</v>
      </c>
      <c r="AW145" s="87" t="str">
        <f t="shared" si="56"/>
        <v>2.3062688382093+0.562369767441859i</v>
      </c>
      <c r="AX145" s="87" t="str">
        <f t="shared" si="57"/>
        <v>0.12955923684053+0.530630590078955i</v>
      </c>
      <c r="AY145" s="87" t="str">
        <f t="shared" si="58"/>
        <v>0.12965923684053+0.150789876475896i</v>
      </c>
      <c r="AZ145" s="87">
        <f t="shared" si="59"/>
        <v>29.199999999999928</v>
      </c>
      <c r="BA145" s="87">
        <f t="shared" si="60"/>
        <v>0.19886956666540165</v>
      </c>
    </row>
    <row r="146" spans="1:53" x14ac:dyDescent="0.25"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AO146" s="87">
        <f t="shared" si="61"/>
        <v>29.399999999999928</v>
      </c>
      <c r="AP146" s="126" t="str">
        <f t="shared" si="52"/>
        <v>0.0001-0.377256763170385i</v>
      </c>
      <c r="AQ146" s="105" t="str">
        <f t="shared" si="53"/>
        <v>0.000000001</v>
      </c>
      <c r="AR146" s="105" t="str">
        <f t="shared" si="54"/>
        <v>0.000192558139534884+0.566120930232557i</v>
      </c>
      <c r="AS146" s="93" t="str">
        <f t="shared" si="50"/>
        <v>2.30607627906977+0.0001i</v>
      </c>
      <c r="AU146" s="87" t="str">
        <f t="shared" si="51"/>
        <v>0.000192559139534884+0.566120930232557i</v>
      </c>
      <c r="AV146" s="87" t="str">
        <f t="shared" si="55"/>
        <v>0.000387443970976226+1.30551806755013i</v>
      </c>
      <c r="AW146" s="87" t="str">
        <f t="shared" si="56"/>
        <v>2.3062688382093+0.566220930232557i</v>
      </c>
      <c r="AX146" s="87" t="str">
        <f t="shared" si="57"/>
        <v>0.131236378094854+0.533853323197516i</v>
      </c>
      <c r="AY146" s="87" t="str">
        <f t="shared" si="58"/>
        <v>0.131336378094854+0.156596560027131i</v>
      </c>
      <c r="AZ146" s="87">
        <f t="shared" si="59"/>
        <v>29.399999999999928</v>
      </c>
      <c r="BA146" s="87">
        <f t="shared" si="60"/>
        <v>0.20438132699296499</v>
      </c>
    </row>
    <row r="147" spans="1:53" x14ac:dyDescent="0.25"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AO147" s="87">
        <f t="shared" si="61"/>
        <v>29.599999999999927</v>
      </c>
      <c r="AP147" s="126" t="str">
        <f t="shared" si="52"/>
        <v>0.0001-0.374707730986802i</v>
      </c>
      <c r="AQ147" s="105" t="str">
        <f t="shared" si="53"/>
        <v>0.000000001</v>
      </c>
      <c r="AR147" s="105" t="str">
        <f t="shared" si="54"/>
        <v>0.000192558139534884+0.569972093023254i</v>
      </c>
      <c r="AS147" s="93" t="str">
        <f t="shared" si="50"/>
        <v>2.30607627906977+0.0001i</v>
      </c>
      <c r="AU147" s="87" t="str">
        <f t="shared" si="51"/>
        <v>0.000192559139534884+0.569972093023254i</v>
      </c>
      <c r="AV147" s="87" t="str">
        <f t="shared" si="55"/>
        <v>0.000387058854697157+1.31439914270859i</v>
      </c>
      <c r="AW147" s="87" t="str">
        <f t="shared" si="56"/>
        <v>2.3062688382093+0.570072093023254i</v>
      </c>
      <c r="AX147" s="87" t="str">
        <f t="shared" si="57"/>
        <v>0.132922357863747+0.53706827037274i</v>
      </c>
      <c r="AY147" s="87" t="str">
        <f t="shared" si="58"/>
        <v>0.133022357863747+0.162360539385938i</v>
      </c>
      <c r="AZ147" s="87">
        <f t="shared" si="59"/>
        <v>29.599999999999927</v>
      </c>
      <c r="BA147" s="87">
        <f t="shared" si="60"/>
        <v>0.20989495573101202</v>
      </c>
    </row>
    <row r="148" spans="1:53" x14ac:dyDescent="0.25"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AO148" s="87">
        <f t="shared" si="61"/>
        <v>29.799999999999926</v>
      </c>
      <c r="AP148" s="126" t="str">
        <f t="shared" si="52"/>
        <v>0.0001-0.372192914000313i</v>
      </c>
      <c r="AQ148" s="105" t="str">
        <f t="shared" si="53"/>
        <v>0.000000001</v>
      </c>
      <c r="AR148" s="105" t="str">
        <f t="shared" si="54"/>
        <v>0.000192558139534884+0.573823255813952i</v>
      </c>
      <c r="AS148" s="93" t="str">
        <f t="shared" si="50"/>
        <v>2.30607627906977+0.0001i</v>
      </c>
      <c r="AU148" s="87" t="str">
        <f t="shared" si="51"/>
        <v>0.000192559139534884+0.573823255813952i</v>
      </c>
      <c r="AV148" s="87" t="str">
        <f t="shared" si="55"/>
        <v>0.000386673738418087+1.32328021786705i</v>
      </c>
      <c r="AW148" s="87" t="str">
        <f t="shared" si="56"/>
        <v>2.3062688382093+0.573923255813952i</v>
      </c>
      <c r="AX148" s="87" t="str">
        <f t="shared" si="57"/>
        <v>0.134617129041314+0.540275399049663i</v>
      </c>
      <c r="AY148" s="87" t="str">
        <f t="shared" si="58"/>
        <v>0.134717129041314+0.16808248504935i</v>
      </c>
      <c r="AZ148" s="87">
        <f t="shared" si="59"/>
        <v>29.799999999999926</v>
      </c>
      <c r="BA148" s="87">
        <f t="shared" si="60"/>
        <v>0.21540758259053699</v>
      </c>
    </row>
    <row r="149" spans="1:53" x14ac:dyDescent="0.25"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AO149" s="87">
        <f t="shared" si="61"/>
        <v>29.999999999999925</v>
      </c>
      <c r="AP149" s="126" t="str">
        <f t="shared" si="52"/>
        <v>0.0001-0.369711627906978i</v>
      </c>
      <c r="AQ149" s="105" t="str">
        <f t="shared" si="53"/>
        <v>0.000000001</v>
      </c>
      <c r="AR149" s="105" t="str">
        <f t="shared" si="54"/>
        <v>0.000192558139534884+0.57767441860465i</v>
      </c>
      <c r="AS149" s="93" t="str">
        <f t="shared" si="50"/>
        <v>2.30607627906977+0.0001i</v>
      </c>
      <c r="AU149" s="87" t="str">
        <f t="shared" si="51"/>
        <v>0.000192559139534884+0.57767441860465i</v>
      </c>
      <c r="AV149" s="87" t="str">
        <f t="shared" si="55"/>
        <v>0.000386288622139017+1.33216129302552i</v>
      </c>
      <c r="AW149" s="87" t="str">
        <f t="shared" si="56"/>
        <v>2.3062688382093+0.57777441860465i</v>
      </c>
      <c r="AX149" s="87" t="str">
        <f t="shared" si="57"/>
        <v>0.136320644391224+0.543474677020642i</v>
      </c>
      <c r="AY149" s="87" t="str">
        <f t="shared" si="58"/>
        <v>0.136420644391224+0.173763049113664i</v>
      </c>
      <c r="AZ149" s="87">
        <f t="shared" si="59"/>
        <v>29.999999999999925</v>
      </c>
      <c r="BA149" s="87">
        <f t="shared" si="60"/>
        <v>0.22091670252245393</v>
      </c>
    </row>
    <row r="150" spans="1:53" x14ac:dyDescent="0.25"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AO150" s="87">
        <f t="shared" si="61"/>
        <v>30.199999999999925</v>
      </c>
      <c r="AP150" s="126" t="str">
        <f t="shared" si="52"/>
        <v>0.0001-0.36726320653011i</v>
      </c>
      <c r="AQ150" s="105" t="str">
        <f t="shared" si="53"/>
        <v>0.000000001</v>
      </c>
      <c r="AR150" s="105" t="str">
        <f t="shared" si="54"/>
        <v>0.000192558139534884+0.581525581395347i</v>
      </c>
      <c r="AS150" s="93" t="str">
        <f t="shared" si="50"/>
        <v>2.30607627906977+0.0001i</v>
      </c>
      <c r="AU150" s="87" t="str">
        <f t="shared" si="51"/>
        <v>0.000192559139534884+0.581525581395347i</v>
      </c>
      <c r="AV150" s="87" t="str">
        <f t="shared" si="55"/>
        <v>0.000385903505859947+1.34104236818398i</v>
      </c>
      <c r="AW150" s="87" t="str">
        <f t="shared" si="56"/>
        <v>2.3062688382093+0.581625581395347i</v>
      </c>
      <c r="AX150" s="87" t="str">
        <f t="shared" si="57"/>
        <v>0.138032856549686+0.546666072425678i</v>
      </c>
      <c r="AY150" s="87" t="str">
        <f t="shared" si="58"/>
        <v>0.138132856549686+0.179402865895568i</v>
      </c>
      <c r="AZ150" s="87">
        <f t="shared" si="59"/>
        <v>30.199999999999925</v>
      </c>
      <c r="BA150" s="87">
        <f t="shared" si="60"/>
        <v>0.22642012797037123</v>
      </c>
    </row>
    <row r="151" spans="1:53" x14ac:dyDescent="0.25"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AO151" s="87">
        <f t="shared" si="61"/>
        <v>30.399999999999924</v>
      </c>
      <c r="AP151" s="126" t="str">
        <f t="shared" si="52"/>
        <v>0.0001-0.364847001223991i</v>
      </c>
      <c r="AQ151" s="105" t="str">
        <f t="shared" si="53"/>
        <v>0.000000001</v>
      </c>
      <c r="AR151" s="105" t="str">
        <f t="shared" si="54"/>
        <v>0.000192558139534884+0.585376744186045i</v>
      </c>
      <c r="AS151" s="93" t="str">
        <f t="shared" si="50"/>
        <v>2.30607627906977+0.0001i</v>
      </c>
      <c r="AU151" s="87" t="str">
        <f t="shared" si="51"/>
        <v>0.000192559139534884+0.585376744186045i</v>
      </c>
      <c r="AV151" s="87" t="str">
        <f t="shared" si="55"/>
        <v>0.000385518389580877+1.34992344334245i</v>
      </c>
      <c r="AW151" s="87" t="str">
        <f t="shared" si="56"/>
        <v>2.3062688382093+0.585476744186045i</v>
      </c>
      <c r="AX151" s="87" t="str">
        <f t="shared" si="57"/>
        <v>0.139753718028445+0.549849553752752i</v>
      </c>
      <c r="AY151" s="87" t="str">
        <f t="shared" si="58"/>
        <v>0.139853718028445+0.185002552528761i</v>
      </c>
      <c r="AZ151" s="87">
        <f t="shared" si="59"/>
        <v>30.399999999999924</v>
      </c>
      <c r="BA151" s="87">
        <f t="shared" si="60"/>
        <v>0.23191594789607892</v>
      </c>
    </row>
    <row r="152" spans="1:53" x14ac:dyDescent="0.25"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AO152" s="87">
        <f t="shared" si="61"/>
        <v>30.599999999999923</v>
      </c>
      <c r="AP152" s="126" t="str">
        <f t="shared" si="52"/>
        <v>0.0001-0.362462380300959i</v>
      </c>
      <c r="AQ152" s="105" t="str">
        <f t="shared" si="53"/>
        <v>0.000000001</v>
      </c>
      <c r="AR152" s="105" t="str">
        <f t="shared" si="54"/>
        <v>0.000192558139534884+0.589227906976743i</v>
      </c>
      <c r="AS152" s="93" t="str">
        <f t="shared" si="50"/>
        <v>2.30607627906977+0.0001i</v>
      </c>
      <c r="AU152" s="87" t="str">
        <f t="shared" si="51"/>
        <v>0.000192559139534884+0.589227906976743i</v>
      </c>
      <c r="AV152" s="87" t="str">
        <f t="shared" si="55"/>
        <v>0.000385133273301808+1.35880451850091i</v>
      </c>
      <c r="AW152" s="87" t="str">
        <f t="shared" si="56"/>
        <v>2.3062688382093+0.589327906976743i</v>
      </c>
      <c r="AX152" s="87" t="str">
        <f t="shared" si="57"/>
        <v>0.141483181217742+0.553025089838073i</v>
      </c>
      <c r="AY152" s="87" t="str">
        <f t="shared" si="58"/>
        <v>0.141583181217742+0.190562709537114i</v>
      </c>
      <c r="AZ152" s="87">
        <f t="shared" si="59"/>
        <v>30.599999999999923</v>
      </c>
      <c r="BA152" s="87">
        <f t="shared" si="60"/>
        <v>0.23740249255191578</v>
      </c>
    </row>
    <row r="153" spans="1:53" x14ac:dyDescent="0.25"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AO153" s="87">
        <f t="shared" si="61"/>
        <v>30.799999999999923</v>
      </c>
      <c r="AP153" s="126" t="str">
        <f t="shared" si="52"/>
        <v>0.0001-0.360108728480822i</v>
      </c>
      <c r="AQ153" s="105" t="str">
        <f t="shared" si="53"/>
        <v>0.000000001</v>
      </c>
      <c r="AR153" s="105" t="str">
        <f t="shared" si="54"/>
        <v>0.000192558139534884+0.593079069767441i</v>
      </c>
      <c r="AS153" s="93" t="str">
        <f t="shared" si="50"/>
        <v>2.30607627906977+0.0001i</v>
      </c>
      <c r="AU153" s="87" t="str">
        <f t="shared" si="51"/>
        <v>0.000192559139534884+0.593079069767441i</v>
      </c>
      <c r="AV153" s="87" t="str">
        <f t="shared" si="55"/>
        <v>0.000384748157022738+1.36768559365937i</v>
      </c>
      <c r="AW153" s="87" t="str">
        <f t="shared" si="56"/>
        <v>2.3062688382093+0.593179069767441i</v>
      </c>
      <c r="AX153" s="87" t="str">
        <f t="shared" si="57"/>
        <v>0.1432211983893+0.556192649866353i</v>
      </c>
      <c r="AY153" s="87" t="str">
        <f t="shared" si="58"/>
        <v>0.1433211983893+0.196083921385531i</v>
      </c>
      <c r="AZ153" s="87">
        <f t="shared" si="59"/>
        <v>30.799999999999923</v>
      </c>
      <c r="BA153" s="87">
        <f t="shared" si="60"/>
        <v>0.24287830313486669</v>
      </c>
    </row>
    <row r="154" spans="1:53" x14ac:dyDescent="0.25"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AO154" s="87">
        <f t="shared" si="61"/>
        <v>30.999999999999922</v>
      </c>
      <c r="AP154" s="126" t="str">
        <f t="shared" si="52"/>
        <v>0.0001-0.357785446361591i</v>
      </c>
      <c r="AQ154" s="105" t="str">
        <f t="shared" si="53"/>
        <v>0.000000001</v>
      </c>
      <c r="AR154" s="105" t="str">
        <f t="shared" si="54"/>
        <v>0.000192558139534884+0.596930232558138i</v>
      </c>
      <c r="AS154" s="93" t="str">
        <f t="shared" si="50"/>
        <v>2.30607627906977+0.0001i</v>
      </c>
      <c r="AU154" s="87" t="str">
        <f t="shared" si="51"/>
        <v>0.000192559139534884+0.596930232558138i</v>
      </c>
      <c r="AV154" s="87" t="str">
        <f t="shared" si="55"/>
        <v>0.000384363040743668+1.37656666881784i</v>
      </c>
      <c r="AW154" s="87" t="str">
        <f t="shared" si="56"/>
        <v>2.3062688382093+0.597030232558138i</v>
      </c>
      <c r="AX154" s="87" t="str">
        <f t="shared" si="57"/>
        <v>0.144967721699281+0.55935220337102i</v>
      </c>
      <c r="AY154" s="87" t="str">
        <f t="shared" si="58"/>
        <v>0.145067721699281+0.201566757009429i</v>
      </c>
      <c r="AZ154" s="87">
        <f t="shared" si="59"/>
        <v>30.999999999999922</v>
      </c>
      <c r="BA154" s="87">
        <f t="shared" si="60"/>
        <v>0.24834210559290634</v>
      </c>
    </row>
    <row r="155" spans="1:53" x14ac:dyDescent="0.25">
      <c r="A155" s="11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AO155" s="87">
        <f t="shared" si="61"/>
        <v>31.199999999999921</v>
      </c>
      <c r="AP155" s="126" t="str">
        <f t="shared" si="52"/>
        <v>0.0001-0.355491949910556i</v>
      </c>
      <c r="AQ155" s="105" t="str">
        <f t="shared" si="53"/>
        <v>0.000000001</v>
      </c>
      <c r="AR155" s="105" t="str">
        <f t="shared" si="54"/>
        <v>0.000192558139534884+0.600781395348836i</v>
      </c>
      <c r="AS155" s="93" t="str">
        <f t="shared" si="50"/>
        <v>2.30607627906977+0.0001i</v>
      </c>
      <c r="AU155" s="87" t="str">
        <f t="shared" si="51"/>
        <v>0.000192559139534884+0.600781395348836i</v>
      </c>
      <c r="AV155" s="87" t="str">
        <f t="shared" si="55"/>
        <v>0.000383977924464598+1.3854477439763i</v>
      </c>
      <c r="AW155" s="87" t="str">
        <f t="shared" si="56"/>
        <v>2.3062688382093+0.600881395348836i</v>
      </c>
      <c r="AX155" s="87" t="str">
        <f t="shared" si="57"/>
        <v>0.146722703191253+0.562503720234395i</v>
      </c>
      <c r="AY155" s="87" t="str">
        <f t="shared" si="58"/>
        <v>0.146822703191253+0.207011770323839i</v>
      </c>
      <c r="AZ155" s="87">
        <f t="shared" si="59"/>
        <v>31.199999999999921</v>
      </c>
      <c r="BA155" s="87">
        <f t="shared" si="60"/>
        <v>0.25379278796884014</v>
      </c>
    </row>
    <row r="156" spans="1:53" x14ac:dyDescent="0.25"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AO156" s="87">
        <f t="shared" si="61"/>
        <v>31.39999999999992</v>
      </c>
      <c r="AP156" s="126" t="str">
        <f t="shared" si="52"/>
        <v>0.0001-0.35322766997482i</v>
      </c>
      <c r="AQ156" s="105" t="str">
        <f t="shared" si="53"/>
        <v>0.000000001</v>
      </c>
      <c r="AR156" s="105" t="str">
        <f t="shared" si="54"/>
        <v>0.000192558139534884+0.604632558139533i</v>
      </c>
      <c r="AS156" s="93" t="str">
        <f t="shared" si="50"/>
        <v>2.30607627906977+0.0001i</v>
      </c>
      <c r="AU156" s="87" t="str">
        <f t="shared" si="51"/>
        <v>0.000192559139534884+0.604632558139533i</v>
      </c>
      <c r="AV156" s="87" t="str">
        <f t="shared" si="55"/>
        <v>0.000383592808185529+1.39432881913476i</v>
      </c>
      <c r="AW156" s="87" t="str">
        <f t="shared" si="56"/>
        <v>2.3062688382093+0.604732558139533i</v>
      </c>
      <c r="AX156" s="87" t="str">
        <f t="shared" si="57"/>
        <v>0.148486094799144+0.565647170687884i</v>
      </c>
      <c r="AY156" s="87" t="str">
        <f t="shared" si="58"/>
        <v>0.148586094799144+0.212419500713064i</v>
      </c>
      <c r="AZ156" s="87">
        <f t="shared" si="59"/>
        <v>31.39999999999992</v>
      </c>
      <c r="BA156" s="87">
        <f t="shared" si="60"/>
        <v>0.25922938076315272</v>
      </c>
    </row>
    <row r="157" spans="1:53" x14ac:dyDescent="0.25"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AO157" s="87">
        <f t="shared" si="61"/>
        <v>31.59999999999992</v>
      </c>
      <c r="AP157" s="126" t="str">
        <f t="shared" si="52"/>
        <v>0.0001-0.350992051810422i</v>
      </c>
      <c r="AQ157" s="105" t="str">
        <f t="shared" si="53"/>
        <v>0.000000001</v>
      </c>
      <c r="AR157" s="105" t="str">
        <f t="shared" si="54"/>
        <v>0.000192558139534884+0.608483720930231i</v>
      </c>
      <c r="AS157" s="93" t="str">
        <f t="shared" si="50"/>
        <v>2.30607627906977+0.0001i</v>
      </c>
      <c r="AU157" s="87" t="str">
        <f t="shared" si="51"/>
        <v>0.000192559139534884+0.608483720930231i</v>
      </c>
      <c r="AV157" s="87" t="str">
        <f t="shared" si="55"/>
        <v>0.000383207691906459+1.40320989429323i</v>
      </c>
      <c r="AW157" s="87" t="str">
        <f t="shared" si="56"/>
        <v>2.3062688382093+0.608583720930231i</v>
      </c>
      <c r="AX157" s="87" t="str">
        <f t="shared" si="57"/>
        <v>0.150257848350198+0.568782525312103i</v>
      </c>
      <c r="AY157" s="87" t="str">
        <f t="shared" si="58"/>
        <v>0.150357848350198+0.217790473501681i</v>
      </c>
      <c r="AZ157" s="87">
        <f t="shared" si="59"/>
        <v>31.59999999999992</v>
      </c>
      <c r="BA157" s="87">
        <f t="shared" si="60"/>
        <v>0.26465103987815264</v>
      </c>
    </row>
    <row r="158" spans="1:53" x14ac:dyDescent="0.25"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AO158" s="87">
        <f t="shared" si="61"/>
        <v>31.799999999999919</v>
      </c>
      <c r="AP158" s="126" t="str">
        <f t="shared" si="52"/>
        <v>0.0001-0.348784554629224i</v>
      </c>
      <c r="AQ158" s="105" t="str">
        <f t="shared" si="53"/>
        <v>0.000000001</v>
      </c>
      <c r="AR158" s="105" t="str">
        <f t="shared" si="54"/>
        <v>0.000192558139534884+0.612334883720929i</v>
      </c>
      <c r="AS158" s="93" t="str">
        <f t="shared" si="50"/>
        <v>2.30607627906977+0.0001i</v>
      </c>
      <c r="AU158" s="87" t="str">
        <f t="shared" si="51"/>
        <v>0.000192559139534884+0.612334883720929i</v>
      </c>
      <c r="AV158" s="87" t="str">
        <f t="shared" si="55"/>
        <v>0.000382822575627389+1.41209096945169i</v>
      </c>
      <c r="AW158" s="87" t="str">
        <f t="shared" si="56"/>
        <v>2.3062688382093+0.612434883720929i</v>
      </c>
      <c r="AX158" s="87" t="str">
        <f t="shared" si="57"/>
        <v>0.152037915567907+0.571909755036974i</v>
      </c>
      <c r="AY158" s="87" t="str">
        <f t="shared" si="58"/>
        <v>0.152137915567907+0.22312520040775i</v>
      </c>
      <c r="AZ158" s="87">
        <f t="shared" si="59"/>
        <v>31.799999999999919</v>
      </c>
      <c r="BA158" s="87">
        <f t="shared" si="60"/>
        <v>0.27005703177356111</v>
      </c>
    </row>
    <row r="159" spans="1:53" x14ac:dyDescent="0.25"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AO159" s="87">
        <f t="shared" si="61"/>
        <v>31.999999999999918</v>
      </c>
      <c r="AP159" s="126" t="str">
        <f t="shared" si="52"/>
        <v>0.0001-0.346604651162792i</v>
      </c>
      <c r="AQ159" s="105" t="str">
        <f t="shared" si="53"/>
        <v>0.000000001</v>
      </c>
      <c r="AR159" s="105" t="str">
        <f t="shared" si="54"/>
        <v>0.000192558139534884+0.616186046511626i</v>
      </c>
      <c r="AS159" s="93" t="str">
        <f t="shared" si="50"/>
        <v>2.30607627906977+0.0001i</v>
      </c>
      <c r="AU159" s="87" t="str">
        <f t="shared" si="51"/>
        <v>0.000192559139534884+0.616186046511626i</v>
      </c>
      <c r="AV159" s="87" t="str">
        <f t="shared" si="55"/>
        <v>0.000382437459348319+1.42097204461016i</v>
      </c>
      <c r="AW159" s="87" t="str">
        <f t="shared" si="56"/>
        <v>2.3062688382093+0.616286046511626i</v>
      </c>
      <c r="AX159" s="87" t="str">
        <f t="shared" si="57"/>
        <v>0.153826248074967+0.575028831141831i</v>
      </c>
      <c r="AY159" s="87" t="str">
        <f t="shared" si="58"/>
        <v>0.153926248074967+0.228424179979039i</v>
      </c>
      <c r="AZ159" s="87">
        <f t="shared" si="59"/>
        <v>31.999999999999918</v>
      </c>
      <c r="BA159" s="87">
        <f t="shared" si="60"/>
        <v>0.27544672052056213</v>
      </c>
    </row>
    <row r="160" spans="1:53" x14ac:dyDescent="0.25"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AO160" s="87">
        <f t="shared" si="61"/>
        <v>32.199999999999918</v>
      </c>
      <c r="AP160" s="126" t="str">
        <f t="shared" si="52"/>
        <v>0.0001-0.344451827242526i</v>
      </c>
      <c r="AQ160" s="105" t="str">
        <f t="shared" si="53"/>
        <v>0.000000001</v>
      </c>
      <c r="AR160" s="105" t="str">
        <f t="shared" si="54"/>
        <v>0.000192558139534884+0.620037209302324i</v>
      </c>
      <c r="AS160" s="93" t="str">
        <f t="shared" si="50"/>
        <v>2.30607627906977+0.0001i</v>
      </c>
      <c r="AU160" s="87" t="str">
        <f t="shared" si="51"/>
        <v>0.000192559139534884+0.620037209302324i</v>
      </c>
      <c r="AV160" s="87" t="str">
        <f t="shared" si="55"/>
        <v>0.00038205234306925+1.42985311976862i</v>
      </c>
      <c r="AW160" s="87" t="str">
        <f t="shared" si="56"/>
        <v>2.3062688382093+0.620137209302324i</v>
      </c>
      <c r="AX160" s="87" t="str">
        <f t="shared" si="57"/>
        <v>0.155622797396191+0.578139725255448i</v>
      </c>
      <c r="AY160" s="87" t="str">
        <f t="shared" si="58"/>
        <v>0.155722797396191+0.233687898012922i</v>
      </c>
      <c r="AZ160" s="87">
        <f t="shared" si="59"/>
        <v>32.199999999999918</v>
      </c>
      <c r="BA160" s="87">
        <f t="shared" si="60"/>
        <v>0.28081955648884743</v>
      </c>
    </row>
    <row r="161" spans="1:53" x14ac:dyDescent="0.25"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AO161" s="87">
        <f t="shared" si="61"/>
        <v>32.39999999999992</v>
      </c>
      <c r="AP161" s="126" t="str">
        <f t="shared" si="52"/>
        <v>0.0001-0.34232558139535i</v>
      </c>
      <c r="AQ161" s="105" t="str">
        <f t="shared" si="53"/>
        <v>0.000000001</v>
      </c>
      <c r="AR161" s="105" t="str">
        <f t="shared" si="54"/>
        <v>0.000192558139534884+0.623888372093022i</v>
      </c>
      <c r="AS161" s="93" t="str">
        <f t="shared" si="50"/>
        <v>2.30607627906977+0.0001i</v>
      </c>
      <c r="AU161" s="87" t="str">
        <f t="shared" si="51"/>
        <v>0.000192559139534884+0.623888372093022i</v>
      </c>
      <c r="AV161" s="87" t="str">
        <f t="shared" si="55"/>
        <v>0.00038166722679018+1.43873419492709i</v>
      </c>
      <c r="AW161" s="87" t="str">
        <f t="shared" si="56"/>
        <v>2.3062688382093+0.623988372093022i</v>
      </c>
      <c r="AX161" s="87" t="str">
        <f t="shared" si="57"/>
        <v>0.157427514961451+0.58124240935609i</v>
      </c>
      <c r="AY161" s="87" t="str">
        <f t="shared" si="58"/>
        <v>0.157527514961451+0.23891682796074i</v>
      </c>
      <c r="AZ161" s="87">
        <f t="shared" si="59"/>
        <v>32.39999999999992</v>
      </c>
      <c r="BA161" s="87">
        <f t="shared" si="60"/>
        <v>0.28617506644142149</v>
      </c>
    </row>
    <row r="162" spans="1:53" x14ac:dyDescent="0.25"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AO162" s="87">
        <f t="shared" si="61"/>
        <v>32.599999999999923</v>
      </c>
      <c r="AP162" s="126" t="str">
        <f t="shared" si="52"/>
        <v>0.0001-0.340225424454274i</v>
      </c>
      <c r="AQ162" s="105" t="str">
        <f t="shared" si="53"/>
        <v>0.000000001</v>
      </c>
      <c r="AR162" s="105" t="str">
        <f t="shared" si="54"/>
        <v>0.000192558139534884+0.62773953488372i</v>
      </c>
      <c r="AS162" s="93" t="str">
        <f t="shared" si="50"/>
        <v>2.30607627906977+0.0001i</v>
      </c>
      <c r="AU162" s="87" t="str">
        <f t="shared" si="51"/>
        <v>0.000192559139534884+0.62773953488372i</v>
      </c>
      <c r="AV162" s="87" t="str">
        <f t="shared" si="55"/>
        <v>0.00038128211051111+1.44761527008555i</v>
      </c>
      <c r="AW162" s="87" t="str">
        <f t="shared" si="56"/>
        <v>2.3062688382093+0.62783953488372i</v>
      </c>
      <c r="AX162" s="87" t="str">
        <f t="shared" si="57"/>
        <v>0.159240352108581+0.584336855771486i</v>
      </c>
      <c r="AY162" s="87" t="str">
        <f t="shared" si="58"/>
        <v>0.159340352108581+0.244111431317212i</v>
      </c>
      <c r="AZ162" s="87">
        <f t="shared" si="59"/>
        <v>32.599999999999923</v>
      </c>
      <c r="BA162" s="87">
        <f t="shared" si="60"/>
        <v>0.29151284484534207</v>
      </c>
    </row>
    <row r="163" spans="1:53" x14ac:dyDescent="0.25"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AO163" s="87">
        <f t="shared" si="61"/>
        <v>32.799999999999926</v>
      </c>
      <c r="AP163" s="126" t="str">
        <f t="shared" si="52"/>
        <v>0.0001-0.338150879183211i</v>
      </c>
      <c r="AQ163" s="105" t="str">
        <f t="shared" si="53"/>
        <v>0.000000001</v>
      </c>
      <c r="AR163" s="105" t="str">
        <f t="shared" si="54"/>
        <v>0.000192558139534884+0.631590697674417i</v>
      </c>
      <c r="AS163" s="93" t="str">
        <f t="shared" si="50"/>
        <v>2.30607627906977+0.0001i</v>
      </c>
      <c r="AU163" s="87" t="str">
        <f t="shared" si="51"/>
        <v>0.000192559139534884+0.631590697674417i</v>
      </c>
      <c r="AV163" s="87" t="str">
        <f t="shared" si="55"/>
        <v>0.00038089699423204+1.45649634524401i</v>
      </c>
      <c r="AW163" s="87" t="str">
        <f t="shared" si="56"/>
        <v>2.3062688382093+0.631690697674417i</v>
      </c>
      <c r="AX163" s="87" t="str">
        <f t="shared" si="57"/>
        <v>0.161061260086295+0.587423037178821i</v>
      </c>
      <c r="AY163" s="87" t="str">
        <f t="shared" si="58"/>
        <v>0.161161260086295+0.24927215799561i</v>
      </c>
      <c r="AZ163" s="87">
        <f t="shared" si="59"/>
        <v>32.799999999999926</v>
      </c>
      <c r="BA163" s="87">
        <f t="shared" si="60"/>
        <v>0.29683254623506289</v>
      </c>
    </row>
    <row r="164" spans="1:53" x14ac:dyDescent="0.25"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AO164" s="87">
        <f t="shared" si="61"/>
        <v>32.999999999999929</v>
      </c>
      <c r="AP164" s="126" t="str">
        <f t="shared" si="52"/>
        <v>0.0001-0.336101479915434i</v>
      </c>
      <c r="AQ164" s="105" t="str">
        <f t="shared" si="53"/>
        <v>0.000000001</v>
      </c>
      <c r="AR164" s="105" t="str">
        <f t="shared" si="54"/>
        <v>0.000192558139534884+0.635441860465115i</v>
      </c>
      <c r="AS164" s="93" t="str">
        <f t="shared" si="50"/>
        <v>2.30607627906977+0.0001i</v>
      </c>
      <c r="AU164" s="87" t="str">
        <f t="shared" si="51"/>
        <v>0.000192559139534884+0.635441860465115i</v>
      </c>
      <c r="AV164" s="87" t="str">
        <f t="shared" si="55"/>
        <v>0.00038051187795297+1.46537742040248i</v>
      </c>
      <c r="AW164" s="87" t="str">
        <f t="shared" si="56"/>
        <v>2.3062688382093+0.635541860465115i</v>
      </c>
      <c r="AX164" s="87" t="str">
        <f t="shared" si="57"/>
        <v>0.162890190057092+0.590500926604675i</v>
      </c>
      <c r="AY164" s="87" t="str">
        <f t="shared" si="58"/>
        <v>0.162990190057092+0.254399446689241i</v>
      </c>
      <c r="AZ164" s="87">
        <f t="shared" si="59"/>
        <v>32.999999999999929</v>
      </c>
      <c r="BA164" s="87">
        <f t="shared" si="60"/>
        <v>0.30213387848872392</v>
      </c>
    </row>
    <row r="165" spans="1:53" x14ac:dyDescent="0.25"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AO165" s="87">
        <f t="shared" si="61"/>
        <v>33.199999999999932</v>
      </c>
      <c r="AP165" s="126" t="str">
        <f t="shared" si="52"/>
        <v>0.0001-0.3340767722051i</v>
      </c>
      <c r="AQ165" s="105" t="str">
        <f t="shared" si="53"/>
        <v>0.000000001</v>
      </c>
      <c r="AR165" s="105" t="str">
        <f t="shared" si="54"/>
        <v>0.000192558139534884+0.639293023255813i</v>
      </c>
      <c r="AS165" s="93" t="str">
        <f t="shared" si="50"/>
        <v>2.30607627906977+0.0001i</v>
      </c>
      <c r="AU165" s="87" t="str">
        <f t="shared" si="51"/>
        <v>0.000192559139534884+0.639293023255813i</v>
      </c>
      <c r="AV165" s="87" t="str">
        <f t="shared" si="55"/>
        <v>0.000380126761673901+1.47425849556094i</v>
      </c>
      <c r="AW165" s="87" t="str">
        <f t="shared" si="56"/>
        <v>2.3062688382093+0.639393023255813i</v>
      </c>
      <c r="AX165" s="87" t="str">
        <f t="shared" si="57"/>
        <v>0.16472709310014+0.593570497424926i</v>
      </c>
      <c r="AY165" s="87" t="str">
        <f t="shared" si="58"/>
        <v>0.16482709310014+0.259493725219826i</v>
      </c>
      <c r="AZ165" s="87">
        <f t="shared" si="59"/>
        <v>33.199999999999932</v>
      </c>
      <c r="BA165" s="87">
        <f t="shared" si="60"/>
        <v>0.30741659689793066</v>
      </c>
    </row>
    <row r="166" spans="1:53" ht="21" x14ac:dyDescent="0.35">
      <c r="A166" s="87"/>
      <c r="B166" s="286" t="s">
        <v>192</v>
      </c>
      <c r="C166" s="286"/>
      <c r="D166" s="286"/>
      <c r="E166" s="286"/>
      <c r="F166" s="286"/>
      <c r="G166" s="286"/>
      <c r="H166" s="286"/>
      <c r="I166" s="286"/>
      <c r="J166" s="286"/>
      <c r="K166" s="286"/>
      <c r="L166" s="286"/>
      <c r="AO166" s="87">
        <f t="shared" si="61"/>
        <v>33.399999999999935</v>
      </c>
      <c r="AP166" s="126" t="str">
        <f t="shared" si="52"/>
        <v>0.0001-0.332076312491297i</v>
      </c>
      <c r="AQ166" s="105" t="str">
        <f t="shared" si="53"/>
        <v>0.000000001</v>
      </c>
      <c r="AR166" s="105" t="str">
        <f t="shared" si="54"/>
        <v>0.000192558139534884+0.64314418604651i</v>
      </c>
      <c r="AS166" s="93" t="str">
        <f t="shared" si="50"/>
        <v>2.30607627906977+0.0001i</v>
      </c>
      <c r="AU166" s="87" t="str">
        <f t="shared" si="51"/>
        <v>0.000192559139534884+0.64314418604651i</v>
      </c>
      <c r="AV166" s="87" t="str">
        <f t="shared" si="55"/>
        <v>0.000379741645394831+1.48313957071941i</v>
      </c>
      <c r="AW166" s="87" t="str">
        <f t="shared" si="56"/>
        <v>2.3062688382093+0.64324418604651i</v>
      </c>
      <c r="AX166" s="87" t="str">
        <f t="shared" si="57"/>
        <v>0.16657192021417+0.596631723364667i</v>
      </c>
      <c r="AY166" s="87" t="str">
        <f t="shared" si="58"/>
        <v>0.16667192021417+0.26455541087337i</v>
      </c>
      <c r="AZ166" s="87">
        <f t="shared" si="59"/>
        <v>33.399999999999935</v>
      </c>
      <c r="BA166" s="87">
        <f t="shared" si="60"/>
        <v>0.31268049892862881</v>
      </c>
    </row>
    <row r="167" spans="1:53" x14ac:dyDescent="0.25">
      <c r="A167" s="87"/>
      <c r="B167" s="91"/>
      <c r="C167" s="87"/>
      <c r="D167" s="92"/>
      <c r="E167" s="87"/>
      <c r="F167" s="87"/>
      <c r="G167" s="87"/>
      <c r="H167" s="87"/>
      <c r="I167" s="87"/>
      <c r="J167" s="87"/>
      <c r="K167" s="87"/>
      <c r="L167" s="87"/>
      <c r="AO167" s="87">
        <f t="shared" si="61"/>
        <v>33.599999999999937</v>
      </c>
      <c r="AP167" s="126" t="str">
        <f t="shared" si="52"/>
        <v>0.0001-0.330099667774087i</v>
      </c>
      <c r="AQ167" s="105" t="str">
        <f t="shared" si="53"/>
        <v>0.000000001</v>
      </c>
      <c r="AR167" s="105" t="str">
        <f t="shared" si="54"/>
        <v>0.000192558139534884+0.646995348837208i</v>
      </c>
      <c r="AS167" s="93" t="str">
        <f t="shared" si="50"/>
        <v>2.30607627906977+0.0001i</v>
      </c>
      <c r="AU167" s="87" t="str">
        <f t="shared" si="51"/>
        <v>0.000192559139534884+0.646995348837208i</v>
      </c>
      <c r="AV167" s="87" t="str">
        <f t="shared" si="55"/>
        <v>0.000379356529115761+1.49202064587787i</v>
      </c>
      <c r="AW167" s="87" t="str">
        <f t="shared" si="56"/>
        <v>2.3062688382093+0.647095348837208i</v>
      </c>
      <c r="AX167" s="87" t="str">
        <f t="shared" si="57"/>
        <v>0.168424622320352+0.599684578498039i</v>
      </c>
      <c r="AY167" s="87" t="str">
        <f t="shared" si="58"/>
        <v>0.168524622320352+0.269584910723952i</v>
      </c>
      <c r="AZ167" s="87">
        <f t="shared" si="59"/>
        <v>33.599999999999937</v>
      </c>
      <c r="BA167" s="87">
        <f t="shared" si="60"/>
        <v>0.31792541958493731</v>
      </c>
    </row>
    <row r="168" spans="1:53" x14ac:dyDescent="0.25">
      <c r="A168" s="87"/>
      <c r="B168" s="91" t="s">
        <v>190</v>
      </c>
      <c r="C168" s="87"/>
      <c r="D168" s="92">
        <f>0.05*D30*3</f>
        <v>311.59420289855069</v>
      </c>
      <c r="E168" s="87" t="str">
        <f t="shared" ref="E168:E178" si="62">"Watts, 3-Phase or "&amp;ROUND(D168*3.412141,0)&amp;" BTUs/Hour"</f>
        <v>Watts, 3-Phase or 1063 BTUs/Hour</v>
      </c>
      <c r="F168" s="87"/>
      <c r="G168" s="87"/>
      <c r="H168" s="87"/>
      <c r="I168" s="87"/>
      <c r="J168" s="87"/>
      <c r="K168" s="87"/>
      <c r="L168" s="87"/>
      <c r="AO168" s="87">
        <f t="shared" si="61"/>
        <v>33.79999999999994</v>
      </c>
      <c r="AP168" s="126" t="str">
        <f t="shared" si="52"/>
        <v>0.0001-0.328146415302051i</v>
      </c>
      <c r="AQ168" s="105" t="str">
        <f t="shared" si="53"/>
        <v>0.000000001</v>
      </c>
      <c r="AR168" s="105" t="str">
        <f t="shared" si="54"/>
        <v>0.000192558139534884+0.650846511627906i</v>
      </c>
      <c r="AS168" s="93" t="str">
        <f t="shared" si="50"/>
        <v>2.30607627906977+0.0001i</v>
      </c>
      <c r="AU168" s="87" t="str">
        <f t="shared" si="51"/>
        <v>0.000192559139534884+0.650846511627906i</v>
      </c>
      <c r="AV168" s="87" t="str">
        <f t="shared" si="55"/>
        <v>0.000378971412836691+1.50090172103634i</v>
      </c>
      <c r="AW168" s="87" t="str">
        <f t="shared" si="56"/>
        <v>2.3062688382093+0.650946511627906i</v>
      </c>
      <c r="AX168" s="87" t="str">
        <f t="shared" si="57"/>
        <v>0.170285150265164+0.602729037248105i</v>
      </c>
      <c r="AY168" s="87" t="str">
        <f t="shared" si="58"/>
        <v>0.170385150265164+0.274582621946054i</v>
      </c>
      <c r="AZ168" s="87">
        <f t="shared" si="59"/>
        <v>33.79999999999994</v>
      </c>
      <c r="BA168" s="87">
        <f t="shared" si="60"/>
        <v>0.3231512273002411</v>
      </c>
    </row>
    <row r="169" spans="1:53" x14ac:dyDescent="0.25">
      <c r="A169" s="87"/>
      <c r="B169" s="99" t="s">
        <v>188</v>
      </c>
      <c r="C169" s="87"/>
      <c r="D169" s="92">
        <f>(1.8*D34+11)*D31*3</f>
        <v>3567.3822568484543</v>
      </c>
      <c r="E169" s="87" t="str">
        <f t="shared" si="62"/>
        <v>Watts, 3-Phase or 12172 BTUs/Hour</v>
      </c>
      <c r="F169" s="87"/>
      <c r="G169" s="87"/>
      <c r="H169" s="87" t="s">
        <v>0</v>
      </c>
      <c r="I169" s="87"/>
      <c r="J169" s="106"/>
      <c r="K169" s="105"/>
      <c r="L169" s="87"/>
      <c r="AO169" s="87">
        <f t="shared" si="61"/>
        <v>33.999999999999943</v>
      </c>
      <c r="AP169" s="126" t="str">
        <f t="shared" si="52"/>
        <v>0.0001-0.326216142270862i</v>
      </c>
      <c r="AQ169" s="105" t="str">
        <f t="shared" si="53"/>
        <v>0.000000001</v>
      </c>
      <c r="AR169" s="105" t="str">
        <f t="shared" si="54"/>
        <v>0.000192558139534884+0.654697674418604i</v>
      </c>
      <c r="AS169" s="93" t="str">
        <f t="shared" si="50"/>
        <v>2.30607627906977+0.0001i</v>
      </c>
      <c r="AU169" s="87" t="str">
        <f t="shared" si="51"/>
        <v>0.000192559139534884+0.654697674418604i</v>
      </c>
      <c r="AV169" s="87" t="str">
        <f t="shared" si="55"/>
        <v>0.000378586296557622+1.5097827961948i</v>
      </c>
      <c r="AW169" s="87" t="str">
        <f t="shared" si="56"/>
        <v>2.3062688382093+0.654797674418604i</v>
      </c>
      <c r="AX169" s="87" t="str">
        <f t="shared" si="57"/>
        <v>0.172153454823249+0.605765074386624i</v>
      </c>
      <c r="AY169" s="87" t="str">
        <f t="shared" si="58"/>
        <v>0.172253454823249+0.279548932115762i</v>
      </c>
      <c r="AZ169" s="87">
        <f t="shared" si="59"/>
        <v>33.999999999999943</v>
      </c>
      <c r="BA169" s="87">
        <f t="shared" si="60"/>
        <v>0.32835782029001226</v>
      </c>
    </row>
    <row r="170" spans="1:53" x14ac:dyDescent="0.25">
      <c r="A170" s="87"/>
      <c r="B170" s="91"/>
      <c r="C170" s="87"/>
      <c r="D170" s="92"/>
      <c r="E170" s="87"/>
      <c r="F170" s="87"/>
      <c r="G170" s="87"/>
      <c r="H170" s="87" t="s">
        <v>0</v>
      </c>
      <c r="I170" s="87"/>
      <c r="J170" s="106"/>
      <c r="K170" s="105"/>
      <c r="L170" s="87"/>
      <c r="AO170" s="87">
        <f t="shared" si="61"/>
        <v>34.199999999999946</v>
      </c>
      <c r="AP170" s="126" t="str">
        <f t="shared" si="52"/>
        <v>0.0001-0.324308445532436i</v>
      </c>
      <c r="AQ170" s="105" t="str">
        <f t="shared" si="53"/>
        <v>0.000000001</v>
      </c>
      <c r="AR170" s="105" t="str">
        <f t="shared" si="54"/>
        <v>0.000192558139534884+0.658548837209301i</v>
      </c>
      <c r="AS170" s="93" t="str">
        <f t="shared" si="50"/>
        <v>2.30607627906977+0.0001i</v>
      </c>
      <c r="AU170" s="87" t="str">
        <f t="shared" si="51"/>
        <v>0.000192559139534884+0.658548837209301i</v>
      </c>
      <c r="AV170" s="87" t="str">
        <f t="shared" si="55"/>
        <v>0.000378201180278552+1.51866387135326i</v>
      </c>
      <c r="AW170" s="87" t="str">
        <f t="shared" si="56"/>
        <v>2.3062688382093+0.658648837209301i</v>
      </c>
      <c r="AX170" s="87" t="str">
        <f t="shared" si="57"/>
        <v>0.174029486700267+0.608792665033866i</v>
      </c>
      <c r="AY170" s="87" t="str">
        <f t="shared" si="58"/>
        <v>0.174129486700267+0.28448421950143i</v>
      </c>
      <c r="AZ170" s="87">
        <f t="shared" si="59"/>
        <v>34.199999999999946</v>
      </c>
      <c r="BA170" s="87">
        <f t="shared" si="60"/>
        <v>0.3335451233099298</v>
      </c>
    </row>
    <row r="171" spans="1:53" x14ac:dyDescent="0.25">
      <c r="A171" s="87"/>
      <c r="B171" s="81" t="str">
        <f>"High Pass Resistor Losses, "&amp;D11&amp;" Hertz"</f>
        <v>High Pass Resistor Losses, 60 Hertz</v>
      </c>
      <c r="C171" s="87"/>
      <c r="D171" s="14">
        <f>T96*3</f>
        <v>62.587498317679007</v>
      </c>
      <c r="E171" s="87" t="str">
        <f t="shared" si="62"/>
        <v>Watts, 3-Phase or 214 BTUs/Hour</v>
      </c>
      <c r="F171" s="87"/>
      <c r="G171" s="87"/>
      <c r="H171" s="87"/>
      <c r="I171" s="87"/>
      <c r="J171" s="87"/>
      <c r="K171" s="87"/>
      <c r="L171" s="87"/>
      <c r="AO171" s="87">
        <f t="shared" si="61"/>
        <v>34.399999999999949</v>
      </c>
      <c r="AP171" s="126" t="str">
        <f t="shared" si="52"/>
        <v>0.0001-0.322422931314224i</v>
      </c>
      <c r="AQ171" s="105" t="str">
        <f t="shared" si="53"/>
        <v>0.000000001</v>
      </c>
      <c r="AR171" s="105" t="str">
        <f t="shared" si="54"/>
        <v>0.000192558139534884+0.662399999999999i</v>
      </c>
      <c r="AS171" s="93" t="str">
        <f t="shared" si="50"/>
        <v>2.30607627906977+0.0001i</v>
      </c>
      <c r="AU171" s="87" t="str">
        <f t="shared" si="51"/>
        <v>0.000192559139534884+0.662399999999999i</v>
      </c>
      <c r="AV171" s="87" t="str">
        <f t="shared" si="55"/>
        <v>0.000377816063999482+1.52754494651173i</v>
      </c>
      <c r="AW171" s="87" t="str">
        <f t="shared" si="56"/>
        <v>2.3062688382093+0.662499999999999i</v>
      </c>
      <c r="AX171" s="87" t="str">
        <f t="shared" si="57"/>
        <v>0.17591319653574+0.611811784658364i</v>
      </c>
      <c r="AY171" s="87" t="str">
        <f t="shared" si="58"/>
        <v>0.17601319653574+0.28938885334414i</v>
      </c>
      <c r="AZ171" s="87">
        <f t="shared" si="59"/>
        <v>34.399999999999949</v>
      </c>
      <c r="BA171" s="87">
        <f t="shared" si="60"/>
        <v>0.33871308477023027</v>
      </c>
    </row>
    <row r="172" spans="1:53" x14ac:dyDescent="0.25">
      <c r="A172" s="87"/>
      <c r="B172" s="91" t="s">
        <v>191</v>
      </c>
      <c r="C172" s="87"/>
      <c r="D172" s="92">
        <f>SUM(U96:AI96)*3</f>
        <v>120.3801853782625</v>
      </c>
      <c r="E172" s="87" t="str">
        <f t="shared" si="62"/>
        <v>Watts, 3-Phase or 411 BTUs/Hour</v>
      </c>
      <c r="F172" s="87"/>
      <c r="G172" s="87"/>
      <c r="H172" s="87"/>
      <c r="I172" s="87"/>
      <c r="J172" s="87"/>
      <c r="K172" s="87"/>
      <c r="L172" s="87"/>
      <c r="AO172" s="87">
        <f t="shared" si="61"/>
        <v>34.599999999999952</v>
      </c>
      <c r="AP172" s="126" t="str">
        <f t="shared" si="52"/>
        <v>0.0001-0.320559214948246i</v>
      </c>
      <c r="AQ172" s="105" t="str">
        <f t="shared" si="53"/>
        <v>0.000000001</v>
      </c>
      <c r="AR172" s="105" t="str">
        <f t="shared" si="54"/>
        <v>0.000192558139534884+0.666251162790697i</v>
      </c>
      <c r="AS172" s="93" t="str">
        <f t="shared" ref="AS172:AS235" si="63">COMPLEX($D$17,0.0001)</f>
        <v>2.30607627906977+0.0001i</v>
      </c>
      <c r="AU172" s="87" t="str">
        <f t="shared" si="51"/>
        <v>0.000192559139534884+0.666251162790697i</v>
      </c>
      <c r="AV172" s="87" t="str">
        <f t="shared" si="55"/>
        <v>0.000377430947720412+1.53642602167019i</v>
      </c>
      <c r="AW172" s="87" t="str">
        <f t="shared" si="56"/>
        <v>2.3062688382093+0.666351162790697i</v>
      </c>
      <c r="AX172" s="87" t="str">
        <f t="shared" si="57"/>
        <v>0.177804534905872+0.61482240907663i</v>
      </c>
      <c r="AY172" s="87" t="str">
        <f t="shared" si="58"/>
        <v>0.177904534905872+0.294263194128384i</v>
      </c>
      <c r="AZ172" s="87">
        <f t="shared" si="59"/>
        <v>34.599999999999952</v>
      </c>
      <c r="BA172" s="87">
        <f t="shared" si="60"/>
        <v>0.34386167416377422</v>
      </c>
    </row>
    <row r="173" spans="1:53" x14ac:dyDescent="0.25">
      <c r="A173" s="87"/>
      <c r="B173" s="81" t="str">
        <f>"Iron-Core Reactor Losses, "&amp;D11&amp;" Hertz"</f>
        <v>Iron-Core Reactor Losses, 60 Hertz</v>
      </c>
      <c r="C173" s="87"/>
      <c r="D173" s="92">
        <f>3*T99</f>
        <v>74.954787985252381</v>
      </c>
      <c r="E173" s="87" t="str">
        <f t="shared" si="62"/>
        <v>Watts, 3-Phase or 256 BTUs/Hour</v>
      </c>
      <c r="F173" s="87"/>
      <c r="G173" s="87"/>
      <c r="H173" s="87"/>
      <c r="I173" s="87"/>
      <c r="J173" s="87"/>
      <c r="K173" s="87"/>
      <c r="L173" s="87"/>
      <c r="AO173" s="87">
        <f t="shared" si="61"/>
        <v>34.799999999999955</v>
      </c>
      <c r="AP173" s="126" t="str">
        <f t="shared" si="52"/>
        <v>0.0001-0.318716920609463i</v>
      </c>
      <c r="AQ173" s="105" t="str">
        <f t="shared" si="53"/>
        <v>0.000000001</v>
      </c>
      <c r="AR173" s="105" t="str">
        <f t="shared" si="54"/>
        <v>0.000192558139534884+0.670102325581395i</v>
      </c>
      <c r="AS173" s="93" t="str">
        <f t="shared" si="63"/>
        <v>2.30607627906977+0.0001i</v>
      </c>
      <c r="AU173" s="87" t="str">
        <f t="shared" si="51"/>
        <v>0.000192559139534884+0.670102325581395i</v>
      </c>
      <c r="AV173" s="87" t="str">
        <f t="shared" si="55"/>
        <v>0.000377045831441342+1.54530709682866i</v>
      </c>
      <c r="AW173" s="87" t="str">
        <f t="shared" si="56"/>
        <v>2.3062688382093+0.670202325581395i</v>
      </c>
      <c r="AX173" s="87" t="str">
        <f t="shared" si="57"/>
        <v>0.179703452326384+0.617824514452899i</v>
      </c>
      <c r="AY173" s="87" t="str">
        <f t="shared" si="58"/>
        <v>0.179803452326384+0.299107593843436i</v>
      </c>
      <c r="AZ173" s="87">
        <f t="shared" si="59"/>
        <v>34.799999999999955</v>
      </c>
      <c r="BA173" s="87">
        <f t="shared" si="60"/>
        <v>0.34899087977094201</v>
      </c>
    </row>
    <row r="174" spans="1:53" ht="15.75" thickBot="1" x14ac:dyDescent="0.3">
      <c r="A174" s="87"/>
      <c r="B174" s="91" t="s">
        <v>193</v>
      </c>
      <c r="C174" s="87"/>
      <c r="D174" s="182">
        <f>3*SUM(U99:AH99)</f>
        <v>5.7666924003602853</v>
      </c>
      <c r="E174" s="87" t="str">
        <f t="shared" si="62"/>
        <v>Watts, 3-Phase or 20 BTUs/Hour</v>
      </c>
      <c r="F174" s="87"/>
      <c r="G174" s="87"/>
      <c r="H174" s="87"/>
      <c r="I174" s="87"/>
      <c r="J174" s="87"/>
      <c r="K174" s="87"/>
      <c r="L174" s="87"/>
      <c r="AO174" s="87">
        <f t="shared" si="61"/>
        <v>34.999999999999957</v>
      </c>
      <c r="AP174" s="126" t="str">
        <f t="shared" si="52"/>
        <v>0.0001-0.316895681063123i</v>
      </c>
      <c r="AQ174" s="105" t="str">
        <f t="shared" si="53"/>
        <v>0.000000001</v>
      </c>
      <c r="AR174" s="105" t="str">
        <f t="shared" si="54"/>
        <v>0.000192558139534884+0.673953488372092i</v>
      </c>
      <c r="AS174" s="93" t="str">
        <f t="shared" si="63"/>
        <v>2.30607627906977+0.0001i</v>
      </c>
      <c r="AU174" s="87" t="str">
        <f t="shared" si="51"/>
        <v>0.000192559139534884+0.673953488372092i</v>
      </c>
      <c r="AV174" s="87" t="str">
        <f t="shared" si="55"/>
        <v>0.000376660715162273+1.55418817198712i</v>
      </c>
      <c r="AW174" s="87" t="str">
        <f t="shared" si="56"/>
        <v>2.3062688382093+0.674053488372092i</v>
      </c>
      <c r="AX174" s="87" t="str">
        <f t="shared" si="57"/>
        <v>0.181609899255312+0.620818077298773i</v>
      </c>
      <c r="AY174" s="87" t="str">
        <f t="shared" si="58"/>
        <v>0.181709899255312+0.30392239623565i</v>
      </c>
      <c r="AZ174" s="87">
        <f t="shared" si="59"/>
        <v>34.999999999999957</v>
      </c>
      <c r="BA174" s="87">
        <f t="shared" si="60"/>
        <v>0.35410070660900278</v>
      </c>
    </row>
    <row r="175" spans="1:53" ht="15.75" thickTop="1" x14ac:dyDescent="0.25">
      <c r="A175" s="87"/>
      <c r="B175" s="87"/>
      <c r="C175" s="87"/>
      <c r="D175" s="87"/>
      <c r="E175" s="87" t="s">
        <v>0</v>
      </c>
      <c r="F175" s="87"/>
      <c r="G175" s="87"/>
      <c r="H175" s="87"/>
      <c r="I175" s="87"/>
      <c r="J175" s="87"/>
      <c r="K175" s="87"/>
      <c r="L175" s="87"/>
      <c r="AO175" s="87">
        <f t="shared" si="61"/>
        <v>35.19999999999996</v>
      </c>
      <c r="AP175" s="126" t="str">
        <f t="shared" si="52"/>
        <v>0.0001-0.315095137420719i</v>
      </c>
      <c r="AQ175" s="105" t="str">
        <f t="shared" si="53"/>
        <v>0.000000001</v>
      </c>
      <c r="AR175" s="105" t="str">
        <f t="shared" si="54"/>
        <v>0.000192558139534884+0.67780465116279i</v>
      </c>
      <c r="AS175" s="93" t="str">
        <f t="shared" si="63"/>
        <v>2.30607627906977+0.0001i</v>
      </c>
      <c r="AU175" s="87" t="str">
        <f t="shared" si="51"/>
        <v>0.000192559139534884+0.67780465116279i</v>
      </c>
      <c r="AV175" s="87" t="str">
        <f t="shared" si="55"/>
        <v>0.000376275598883203+1.56306924714558i</v>
      </c>
      <c r="AW175" s="87" t="str">
        <f t="shared" si="56"/>
        <v>2.3062688382093+0.67790465116279i</v>
      </c>
      <c r="AX175" s="87" t="str">
        <f t="shared" si="57"/>
        <v>0.183523826095815+0.623803074472914i</v>
      </c>
      <c r="AY175" s="87" t="str">
        <f t="shared" si="58"/>
        <v>0.183623826095815+0.308707937052195i</v>
      </c>
      <c r="AZ175" s="87">
        <f t="shared" si="59"/>
        <v>35.19999999999996</v>
      </c>
      <c r="BA175" s="87">
        <f t="shared" si="60"/>
        <v>0.3591911745979961</v>
      </c>
    </row>
    <row r="176" spans="1:53" x14ac:dyDescent="0.25">
      <c r="A176" s="87"/>
      <c r="B176" s="91" t="str">
        <f>"Total "&amp;D11&amp;" Hz Losses "</f>
        <v xml:space="preserve">Total 60 Hz Losses </v>
      </c>
      <c r="C176" s="87"/>
      <c r="D176" s="92">
        <f>SUM(D167:D171)+SUM(D173)</f>
        <v>4016.5187460499365</v>
      </c>
      <c r="E176" s="87" t="str">
        <f t="shared" si="62"/>
        <v>Watts, 3-Phase or 13705 BTUs/Hour</v>
      </c>
      <c r="F176" s="87"/>
      <c r="G176" s="87"/>
      <c r="H176" s="87"/>
      <c r="I176" s="87"/>
      <c r="J176" s="87"/>
      <c r="K176" s="87"/>
      <c r="L176" s="87"/>
      <c r="AO176" s="87">
        <f t="shared" si="61"/>
        <v>35.399999999999963</v>
      </c>
      <c r="AP176" s="126" t="str">
        <f t="shared" si="52"/>
        <v>0.0001-0.313314938904218i</v>
      </c>
      <c r="AQ176" s="105" t="str">
        <f t="shared" si="53"/>
        <v>0.000000001</v>
      </c>
      <c r="AR176" s="105" t="str">
        <f t="shared" si="54"/>
        <v>0.000192558139534884+0.681655813953488i</v>
      </c>
      <c r="AS176" s="93" t="str">
        <f t="shared" si="63"/>
        <v>2.30607627906977+0.0001i</v>
      </c>
      <c r="AU176" s="87" t="str">
        <f t="shared" si="51"/>
        <v>0.000192559139534884+0.681655813953488i</v>
      </c>
      <c r="AV176" s="87" t="str">
        <f t="shared" si="55"/>
        <v>0.000375890482604133+1.57195032230405i</v>
      </c>
      <c r="AW176" s="87" t="str">
        <f t="shared" si="56"/>
        <v>2.3062688382093+0.681755813953488i</v>
      </c>
      <c r="AX176" s="87" t="str">
        <f t="shared" si="57"/>
        <v>0.185445183198962+0.626779483180661i</v>
      </c>
      <c r="AY176" s="87" t="str">
        <f t="shared" si="58"/>
        <v>0.185545183198962+0.313464544276443i</v>
      </c>
      <c r="AZ176" s="87">
        <f t="shared" si="59"/>
        <v>35.399999999999963</v>
      </c>
      <c r="BA176" s="87">
        <f t="shared" si="60"/>
        <v>0.36426231691841865</v>
      </c>
    </row>
    <row r="177" spans="1:53" ht="15.75" thickBot="1" x14ac:dyDescent="0.3">
      <c r="A177" s="87"/>
      <c r="B177" s="91" t="s">
        <v>194</v>
      </c>
      <c r="C177" s="87"/>
      <c r="D177" s="182">
        <f>D174+D172</f>
        <v>126.14687777862278</v>
      </c>
      <c r="E177" s="87" t="str">
        <f t="shared" si="62"/>
        <v>Watts, 3-Phase or 430 BTUs/Hour</v>
      </c>
      <c r="F177" s="87"/>
      <c r="G177" s="87"/>
      <c r="H177" s="87"/>
      <c r="I177" s="87"/>
      <c r="J177" s="87"/>
      <c r="K177" s="87"/>
      <c r="L177" s="87"/>
      <c r="AO177" s="87">
        <f t="shared" si="61"/>
        <v>35.599999999999966</v>
      </c>
      <c r="AP177" s="126" t="str">
        <f t="shared" si="52"/>
        <v>0.0001-0.311554742618239i</v>
      </c>
      <c r="AQ177" s="105" t="str">
        <f t="shared" si="53"/>
        <v>0.000000001</v>
      </c>
      <c r="AR177" s="105" t="str">
        <f t="shared" si="54"/>
        <v>0.000192558139534884+0.685506976744185i</v>
      </c>
      <c r="AS177" s="93" t="str">
        <f t="shared" si="63"/>
        <v>2.30607627906977+0.0001i</v>
      </c>
      <c r="AU177" s="87" t="str">
        <f t="shared" si="51"/>
        <v>0.000192559139534884+0.685506976744185i</v>
      </c>
      <c r="AV177" s="87" t="str">
        <f t="shared" si="55"/>
        <v>0.000375505366325063+1.58083139746251i</v>
      </c>
      <c r="AW177" s="87" t="str">
        <f t="shared" si="56"/>
        <v>2.3062688382093+0.685606976744185i</v>
      </c>
      <c r="AX177" s="87" t="str">
        <f t="shared" si="57"/>
        <v>0.187373920866509+0.62974728097363i</v>
      </c>
      <c r="AY177" s="87" t="str">
        <f t="shared" si="58"/>
        <v>0.187473920866509+0.318192538355391i</v>
      </c>
      <c r="AZ177" s="87">
        <f t="shared" si="59"/>
        <v>35.599999999999966</v>
      </c>
      <c r="BA177" s="87">
        <f t="shared" si="60"/>
        <v>0.36931417853923376</v>
      </c>
    </row>
    <row r="178" spans="1:53" ht="15.75" thickTop="1" x14ac:dyDescent="0.25">
      <c r="A178" s="87"/>
      <c r="B178" s="183" t="s">
        <v>194</v>
      </c>
      <c r="C178" s="96"/>
      <c r="D178" s="184">
        <f>SUM(D176:D177)</f>
        <v>4142.6656238285595</v>
      </c>
      <c r="E178" s="96" t="str">
        <f t="shared" si="62"/>
        <v>Watts, 3-Phase or 14135 BTUs/Hour</v>
      </c>
      <c r="F178" s="96"/>
      <c r="G178" s="96"/>
      <c r="H178" s="96"/>
      <c r="I178" s="96"/>
      <c r="J178" s="96"/>
      <c r="K178" s="96"/>
      <c r="L178" s="96"/>
      <c r="AO178" s="87">
        <f t="shared" si="61"/>
        <v>35.799999999999969</v>
      </c>
      <c r="AP178" s="126" t="str">
        <f t="shared" si="52"/>
        <v>0.0001-0.309814213329869i</v>
      </c>
      <c r="AQ178" s="105" t="str">
        <f t="shared" si="53"/>
        <v>0.000000001</v>
      </c>
      <c r="AR178" s="105" t="str">
        <f t="shared" si="54"/>
        <v>0.000192558139534884+0.689358139534883i</v>
      </c>
      <c r="AS178" s="93" t="str">
        <f t="shared" si="63"/>
        <v>2.30607627906977+0.0001i</v>
      </c>
      <c r="AU178" s="87" t="str">
        <f t="shared" si="51"/>
        <v>0.000192559139534884+0.689358139534883i</v>
      </c>
      <c r="AV178" s="87" t="str">
        <f t="shared" si="55"/>
        <v>0.000375120250045994+1.58971247262098i</v>
      </c>
      <c r="AW178" s="87" t="str">
        <f t="shared" si="56"/>
        <v>2.3062688382093+0.689458139534883i</v>
      </c>
      <c r="AX178" s="87" t="str">
        <f t="shared" si="57"/>
        <v>0.18930998935367+0.632706445749324i</v>
      </c>
      <c r="AY178" s="87" t="str">
        <f t="shared" si="58"/>
        <v>0.18940998935367+0.322892232419455i</v>
      </c>
      <c r="AZ178" s="87">
        <f t="shared" si="59"/>
        <v>35.799999999999969</v>
      </c>
      <c r="BA178" s="87">
        <f t="shared" si="60"/>
        <v>0.37434681489733118</v>
      </c>
    </row>
    <row r="179" spans="1:53" x14ac:dyDescent="0.25">
      <c r="AO179" s="87">
        <f t="shared" si="61"/>
        <v>35.999999999999972</v>
      </c>
      <c r="AP179" s="126" t="str">
        <f t="shared" si="52"/>
        <v>0.0001-0.308093023255814i</v>
      </c>
      <c r="AQ179" s="105" t="str">
        <f t="shared" si="53"/>
        <v>0.000000001</v>
      </c>
      <c r="AR179" s="105" t="str">
        <f t="shared" si="54"/>
        <v>0.000192558139534884+0.693209302325581i</v>
      </c>
      <c r="AS179" s="93" t="str">
        <f t="shared" si="63"/>
        <v>2.30607627906977+0.0001i</v>
      </c>
      <c r="AU179" s="87" t="str">
        <f t="shared" si="51"/>
        <v>0.000192559139534884+0.693209302325581i</v>
      </c>
      <c r="AV179" s="87" t="str">
        <f t="shared" si="55"/>
        <v>0.000374735133766924+1.59859354777944i</v>
      </c>
      <c r="AW179" s="87" t="str">
        <f t="shared" si="56"/>
        <v>2.3062688382093+0.693309302325581i</v>
      </c>
      <c r="AX179" s="87" t="str">
        <f t="shared" si="57"/>
        <v>0.191253338871864+0.635656955750666i</v>
      </c>
      <c r="AY179" s="87" t="str">
        <f t="shared" si="58"/>
        <v>0.191353338871864+0.327563932494852i</v>
      </c>
      <c r="AZ179" s="87">
        <f t="shared" si="59"/>
        <v>35.999999999999972</v>
      </c>
      <c r="BA179" s="87">
        <f t="shared" si="60"/>
        <v>0.37936029071174854</v>
      </c>
    </row>
    <row r="180" spans="1:53" x14ac:dyDescent="0.25">
      <c r="AO180" s="87">
        <f t="shared" si="61"/>
        <v>36.199999999999974</v>
      </c>
      <c r="AP180" s="126" t="str">
        <f t="shared" si="52"/>
        <v>0.0001-0.306390851856611i</v>
      </c>
      <c r="AQ180" s="105" t="str">
        <f t="shared" si="53"/>
        <v>0.000000001</v>
      </c>
      <c r="AR180" s="105" t="str">
        <f t="shared" si="54"/>
        <v>0.000192558139534884+0.697060465116279i</v>
      </c>
      <c r="AS180" s="93" t="str">
        <f t="shared" si="63"/>
        <v>2.30607627906977+0.0001i</v>
      </c>
      <c r="AU180" s="87" t="str">
        <f t="shared" si="51"/>
        <v>0.000192559139534884+0.697060465116279i</v>
      </c>
      <c r="AV180" s="87" t="str">
        <f t="shared" si="55"/>
        <v>0.000374350017487854+1.60747462293791i</v>
      </c>
      <c r="AW180" s="87" t="str">
        <f t="shared" si="56"/>
        <v>2.3062688382093+0.697160465116279i</v>
      </c>
      <c r="AX180" s="87" t="str">
        <f t="shared" si="57"/>
        <v>0.193203919591472+0.638598789565561i</v>
      </c>
      <c r="AY180" s="87" t="str">
        <f t="shared" si="58"/>
        <v>0.193303919591472+0.33220793770895i</v>
      </c>
      <c r="AZ180" s="87">
        <f t="shared" si="59"/>
        <v>36.199999999999974</v>
      </c>
      <c r="BA180" s="87">
        <f t="shared" si="60"/>
        <v>0.38435467891813141</v>
      </c>
    </row>
    <row r="181" spans="1:53" x14ac:dyDescent="0.25">
      <c r="AO181" s="87">
        <f t="shared" si="61"/>
        <v>36.399999999999977</v>
      </c>
      <c r="AP181" s="126" t="str">
        <f t="shared" si="52"/>
        <v>0.0001-0.304707385637618i</v>
      </c>
      <c r="AQ181" s="105" t="str">
        <f t="shared" si="53"/>
        <v>0.000000001</v>
      </c>
      <c r="AR181" s="105" t="str">
        <f t="shared" si="54"/>
        <v>0.000192558139534884+0.700911627906976i</v>
      </c>
      <c r="AS181" s="93" t="str">
        <f t="shared" si="63"/>
        <v>2.30607627906977+0.0001i</v>
      </c>
      <c r="AU181" s="87" t="str">
        <f t="shared" si="51"/>
        <v>0.000192559139534884+0.700911627906976i</v>
      </c>
      <c r="AV181" s="87" t="str">
        <f t="shared" si="55"/>
        <v>0.000373964901208784+1.61635569809637i</v>
      </c>
      <c r="AW181" s="87" t="str">
        <f t="shared" si="56"/>
        <v>2.3062688382093+0.701011627906976i</v>
      </c>
      <c r="AX181" s="87" t="str">
        <f t="shared" si="57"/>
        <v>0.195161681644554+0.641531926126379i</v>
      </c>
      <c r="AY181" s="87" t="str">
        <f t="shared" si="58"/>
        <v>0.195261681644554+0.336824540488761i</v>
      </c>
      <c r="AZ181" s="87">
        <f t="shared" si="59"/>
        <v>36.399999999999977</v>
      </c>
      <c r="BA181" s="87">
        <f t="shared" si="60"/>
        <v>0.38933005971042633</v>
      </c>
    </row>
    <row r="182" spans="1:53" x14ac:dyDescent="0.25">
      <c r="AO182" s="87">
        <f t="shared" si="61"/>
        <v>36.59999999999998</v>
      </c>
      <c r="AP182" s="126" t="str">
        <f t="shared" si="52"/>
        <v>0.0001-0.303042317956539i</v>
      </c>
      <c r="AQ182" s="105" t="str">
        <f t="shared" si="53"/>
        <v>0.000000001</v>
      </c>
      <c r="AR182" s="105" t="str">
        <f t="shared" si="54"/>
        <v>0.000192558139534884+0.704762790697674i</v>
      </c>
      <c r="AS182" s="93" t="str">
        <f t="shared" si="63"/>
        <v>2.30607627906977+0.0001i</v>
      </c>
      <c r="AU182" s="87" t="str">
        <f t="shared" si="51"/>
        <v>0.000192559139534884+0.704762790697674i</v>
      </c>
      <c r="AV182" s="87" t="str">
        <f t="shared" si="55"/>
        <v>0.000373579784929715+1.62523677325483i</v>
      </c>
      <c r="AW182" s="87" t="str">
        <f t="shared" si="56"/>
        <v>2.3062688382093+0.704862790697674i</v>
      </c>
      <c r="AX182" s="87" t="str">
        <f t="shared" si="57"/>
        <v>0.197126575127584+0.644456344709472i</v>
      </c>
      <c r="AY182" s="87" t="str">
        <f t="shared" si="58"/>
        <v>0.197226575127584+0.341414026752933i</v>
      </c>
      <c r="AZ182" s="87">
        <f t="shared" si="59"/>
        <v>36.59999999999998</v>
      </c>
      <c r="BA182" s="87">
        <f t="shared" si="60"/>
        <v>0.39428651967853146</v>
      </c>
    </row>
    <row r="183" spans="1:53" x14ac:dyDescent="0.25">
      <c r="AO183" s="87">
        <f t="shared" si="61"/>
        <v>36.799999999999983</v>
      </c>
      <c r="AP183" s="126" t="str">
        <f t="shared" si="52"/>
        <v>0.0001-0.301395348837209i</v>
      </c>
      <c r="AQ183" s="105" t="str">
        <f t="shared" si="53"/>
        <v>0.000000001</v>
      </c>
      <c r="AR183" s="105" t="str">
        <f t="shared" si="54"/>
        <v>0.000192558139534884+0.708613953488372i</v>
      </c>
      <c r="AS183" s="93" t="str">
        <f t="shared" si="63"/>
        <v>2.30607627906977+0.0001i</v>
      </c>
      <c r="AU183" s="87" t="str">
        <f t="shared" si="51"/>
        <v>0.000192559139534884+0.708613953488372i</v>
      </c>
      <c r="AV183" s="87" t="str">
        <f t="shared" si="55"/>
        <v>0.000373194668650645+1.6341178484133i</v>
      </c>
      <c r="AW183" s="87" t="str">
        <f t="shared" si="56"/>
        <v>2.3062688382093+0.708713953488372i</v>
      </c>
      <c r="AX183" s="87" t="str">
        <f t="shared" si="57"/>
        <v>0.199098550104146+0.647372024934629i</v>
      </c>
      <c r="AY183" s="87" t="str">
        <f t="shared" si="58"/>
        <v>0.199198550104146+0.34597667609742i</v>
      </c>
      <c r="AZ183" s="87">
        <f t="shared" si="59"/>
        <v>36.799999999999983</v>
      </c>
      <c r="BA183" s="87">
        <f t="shared" si="60"/>
        <v>0.3992241510317393</v>
      </c>
    </row>
    <row r="184" spans="1:53" x14ac:dyDescent="0.25">
      <c r="AO184" s="87">
        <f t="shared" si="61"/>
        <v>36.999999999999986</v>
      </c>
      <c r="AP184" s="126" t="str">
        <f t="shared" si="52"/>
        <v>0.0001-0.299766184789441i</v>
      </c>
      <c r="AQ184" s="105" t="str">
        <f t="shared" si="53"/>
        <v>0.000000001</v>
      </c>
      <c r="AR184" s="105" t="str">
        <f t="shared" si="54"/>
        <v>0.000192558139534884+0.71246511627907i</v>
      </c>
      <c r="AS184" s="93" t="str">
        <f t="shared" si="63"/>
        <v>2.30607627906977+0.0001i</v>
      </c>
      <c r="AU184" s="87" t="str">
        <f t="shared" si="51"/>
        <v>0.000192559139534884+0.71246511627907i</v>
      </c>
      <c r="AV184" s="87" t="str">
        <f t="shared" si="55"/>
        <v>0.000372809552371575+1.64299892357176i</v>
      </c>
      <c r="AW184" s="87" t="str">
        <f t="shared" si="56"/>
        <v>2.3062688382093+0.71256511627907i</v>
      </c>
      <c r="AX184" s="87" t="str">
        <f t="shared" si="57"/>
        <v>0.201077556607632+0.6502789467645i</v>
      </c>
      <c r="AY184" s="87" t="str">
        <f t="shared" si="58"/>
        <v>0.201177556607632+0.350512761975059i</v>
      </c>
      <c r="AZ184" s="87">
        <f t="shared" si="59"/>
        <v>36.999999999999986</v>
      </c>
      <c r="BA184" s="87">
        <f t="shared" si="60"/>
        <v>0.40414305089906138</v>
      </c>
    </row>
    <row r="185" spans="1:53" x14ac:dyDescent="0.25">
      <c r="AO185" s="87">
        <f t="shared" si="61"/>
        <v>37.199999999999989</v>
      </c>
      <c r="AP185" s="126" t="str">
        <f t="shared" si="52"/>
        <v>0.0001-0.298154538634659i</v>
      </c>
      <c r="AQ185" s="105" t="str">
        <f t="shared" si="53"/>
        <v>0.000000001</v>
      </c>
      <c r="AR185" s="105" t="str">
        <f t="shared" si="54"/>
        <v>0.000192558139534884+0.716316279069767i</v>
      </c>
      <c r="AS185" s="93" t="str">
        <f t="shared" si="63"/>
        <v>2.30607627906977+0.0001i</v>
      </c>
      <c r="AU185" s="87" t="str">
        <f t="shared" si="51"/>
        <v>0.000192559139534884+0.716316279069767i</v>
      </c>
      <c r="AV185" s="87" t="str">
        <f t="shared" si="55"/>
        <v>0.000372424436092505+1.65187999873023i</v>
      </c>
      <c r="AW185" s="87" t="str">
        <f t="shared" si="56"/>
        <v>2.3062688382093+0.716416279069767i</v>
      </c>
      <c r="AX185" s="87" t="str">
        <f t="shared" si="57"/>
        <v>0.203063544643931+0.653177090504051i</v>
      </c>
      <c r="AY185" s="87" t="str">
        <f t="shared" si="58"/>
        <v>0.203163544643931+0.355022551869392i</v>
      </c>
      <c r="AZ185" s="87">
        <f t="shared" si="59"/>
        <v>37.199999999999989</v>
      </c>
      <c r="BA185" s="87">
        <f t="shared" si="60"/>
        <v>0.40904332069860483</v>
      </c>
    </row>
    <row r="186" spans="1:53" x14ac:dyDescent="0.25">
      <c r="AO186" s="87">
        <f t="shared" si="61"/>
        <v>37.399999999999991</v>
      </c>
      <c r="AP186" s="126" t="str">
        <f t="shared" si="52"/>
        <v>0.0001-0.296560129337147i</v>
      </c>
      <c r="AQ186" s="105" t="str">
        <f t="shared" si="53"/>
        <v>0.000000001</v>
      </c>
      <c r="AR186" s="105" t="str">
        <f t="shared" si="54"/>
        <v>0.000192558139534884+0.720167441860465i</v>
      </c>
      <c r="AS186" s="93" t="str">
        <f t="shared" si="63"/>
        <v>2.30607627906977+0.0001i</v>
      </c>
      <c r="AU186" s="87" t="str">
        <f t="shared" si="51"/>
        <v>0.000192559139534884+0.720167441860465i</v>
      </c>
      <c r="AV186" s="87" t="str">
        <f t="shared" si="55"/>
        <v>0.000372039319813435+1.66076107388869i</v>
      </c>
      <c r="AW186" s="87" t="str">
        <f t="shared" si="56"/>
        <v>2.3062688382093+0.720267441860465i</v>
      </c>
      <c r="AX186" s="87" t="str">
        <f t="shared" si="57"/>
        <v>0.205056464194086+0.656066436799919i</v>
      </c>
      <c r="AY186" s="87" t="str">
        <f t="shared" si="58"/>
        <v>0.205156464194086+0.359506307462772i</v>
      </c>
      <c r="AZ186" s="87">
        <f t="shared" si="59"/>
        <v>37.399999999999991</v>
      </c>
      <c r="BA186" s="87">
        <f t="shared" si="60"/>
        <v>0.41392506556880126</v>
      </c>
    </row>
    <row r="187" spans="1:53" x14ac:dyDescent="0.25">
      <c r="AO187" s="87">
        <f t="shared" si="61"/>
        <v>37.599999999999994</v>
      </c>
      <c r="AP187" s="126" t="str">
        <f t="shared" si="52"/>
        <v>0.0001-0.294982681840673i</v>
      </c>
      <c r="AQ187" s="105" t="str">
        <f t="shared" si="53"/>
        <v>0.000000001</v>
      </c>
      <c r="AR187" s="105" t="str">
        <f t="shared" si="54"/>
        <v>0.000192558139534884+0.724018604651163i</v>
      </c>
      <c r="AS187" s="93" t="str">
        <f t="shared" si="63"/>
        <v>2.30607627906977+0.0001i</v>
      </c>
      <c r="AU187" s="87" t="str">
        <f t="shared" si="51"/>
        <v>0.000192559139534884+0.724018604651163i</v>
      </c>
      <c r="AV187" s="87" t="str">
        <f t="shared" si="55"/>
        <v>0.000371654203534366+1.66964214904715i</v>
      </c>
      <c r="AW187" s="87" t="str">
        <f t="shared" si="56"/>
        <v>2.3062688382093+0.724118604651163i</v>
      </c>
      <c r="AX187" s="87" t="str">
        <f t="shared" si="57"/>
        <v>0.207056265216961+0.658946966639821i</v>
      </c>
      <c r="AY187" s="87" t="str">
        <f t="shared" si="58"/>
        <v>0.207156265216961+0.363964284799148i</v>
      </c>
      <c r="AZ187" s="87">
        <f t="shared" si="59"/>
        <v>37.599999999999994</v>
      </c>
      <c r="BA187" s="87">
        <f t="shared" si="60"/>
        <v>0.41878839385541139</v>
      </c>
    </row>
    <row r="188" spans="1:53" x14ac:dyDescent="0.25">
      <c r="AO188" s="87">
        <f t="shared" si="61"/>
        <v>37.799999999999997</v>
      </c>
      <c r="AP188" s="126" t="str">
        <f t="shared" si="52"/>
        <v>0.0001-0.293421926910299i</v>
      </c>
      <c r="AQ188" s="105" t="str">
        <f t="shared" si="53"/>
        <v>0.000000001</v>
      </c>
      <c r="AR188" s="105" t="str">
        <f t="shared" si="54"/>
        <v>0.000192558139534884+0.72786976744186i</v>
      </c>
      <c r="AS188" s="93" t="str">
        <f t="shared" si="63"/>
        <v>2.30607627906977+0.0001i</v>
      </c>
      <c r="AU188" s="87" t="str">
        <f t="shared" si="51"/>
        <v>0.000192559139534884+0.72786976744186i</v>
      </c>
      <c r="AV188" s="87" t="str">
        <f t="shared" si="55"/>
        <v>0.000371269087255296+1.67852322420562i</v>
      </c>
      <c r="AW188" s="87" t="str">
        <f t="shared" si="56"/>
        <v>2.3062688382093+0.72796976744186i</v>
      </c>
      <c r="AX188" s="87" t="str">
        <f t="shared" si="57"/>
        <v>0.209062897651881+0.661818661351891i</v>
      </c>
      <c r="AY188" s="87" t="str">
        <f t="shared" si="58"/>
        <v>0.209162897651881+0.368396734441592i</v>
      </c>
      <c r="AZ188" s="87">
        <f t="shared" si="59"/>
        <v>37.799999999999997</v>
      </c>
      <c r="BA188" s="87">
        <f t="shared" si="60"/>
        <v>0.42363341664859261</v>
      </c>
    </row>
    <row r="189" spans="1:53" x14ac:dyDescent="0.25">
      <c r="AO189" s="87">
        <f t="shared" si="61"/>
        <v>38</v>
      </c>
      <c r="AP189" s="126" t="str">
        <f t="shared" si="52"/>
        <v>0.0001-0.291877600979192i</v>
      </c>
      <c r="AQ189" s="105" t="str">
        <f t="shared" si="53"/>
        <v>0.000000001</v>
      </c>
      <c r="AR189" s="105" t="str">
        <f t="shared" si="54"/>
        <v>0.000192558139534884+0.731720930232558i</v>
      </c>
      <c r="AS189" s="93" t="str">
        <f t="shared" si="63"/>
        <v>2.30607627906977+0.0001i</v>
      </c>
      <c r="AU189" s="87" t="str">
        <f t="shared" si="51"/>
        <v>0.000192559139534884+0.731720930232558i</v>
      </c>
      <c r="AV189" s="87" t="str">
        <f t="shared" si="55"/>
        <v>0.000370883970976226+1.68740429936408i</v>
      </c>
      <c r="AW189" s="87" t="str">
        <f t="shared" si="56"/>
        <v>2.3062688382093+0.731820930232558i</v>
      </c>
      <c r="AX189" s="87" t="str">
        <f t="shared" si="57"/>
        <v>0.211076311421256+0.664681502603992i</v>
      </c>
      <c r="AY189" s="87" t="str">
        <f t="shared" si="58"/>
        <v>0.211176311421256+0.3728039016248i</v>
      </c>
      <c r="AZ189" s="87">
        <f t="shared" si="59"/>
        <v>38</v>
      </c>
      <c r="BA189" s="87">
        <f t="shared" si="60"/>
        <v>0.42846024736509791</v>
      </c>
    </row>
    <row r="190" spans="1:53" x14ac:dyDescent="0.25">
      <c r="AO190" s="87">
        <f t="shared" si="61"/>
        <v>38.200000000000003</v>
      </c>
      <c r="AP190" s="126" t="str">
        <f t="shared" si="52"/>
        <v>0.0001-0.290349446000244i</v>
      </c>
      <c r="AQ190" s="105" t="str">
        <f t="shared" si="53"/>
        <v>0.000000001</v>
      </c>
      <c r="AR190" s="105" t="str">
        <f t="shared" si="54"/>
        <v>0.000192558139534884+0.735572093023256i</v>
      </c>
      <c r="AS190" s="93" t="str">
        <f t="shared" si="63"/>
        <v>2.30607627906977+0.0001i</v>
      </c>
      <c r="AU190" s="87" t="str">
        <f t="shared" si="51"/>
        <v>0.000192559139534884+0.735572093023256i</v>
      </c>
      <c r="AV190" s="87" t="str">
        <f t="shared" si="55"/>
        <v>0.000370498854697156+1.69628537452255i</v>
      </c>
      <c r="AW190" s="87" t="str">
        <f t="shared" si="56"/>
        <v>2.3062688382093+0.735672093023256i</v>
      </c>
      <c r="AX190" s="87" t="str">
        <f t="shared" si="57"/>
        <v>0.213096456433203+0.667535472403058i</v>
      </c>
      <c r="AY190" s="87" t="str">
        <f t="shared" si="58"/>
        <v>0.213196456433203+0.377186026402814i</v>
      </c>
      <c r="AZ190" s="87">
        <f t="shared" si="59"/>
        <v>38.200000000000003</v>
      </c>
      <c r="BA190" s="87">
        <f t="shared" si="60"/>
        <v>0.43326900137122543</v>
      </c>
    </row>
    <row r="191" spans="1:53" x14ac:dyDescent="0.25">
      <c r="AO191" s="87">
        <f t="shared" si="61"/>
        <v>38.400000000000006</v>
      </c>
      <c r="AP191" s="126" t="str">
        <f t="shared" si="52"/>
        <v>0.0001-0.288837209302326i</v>
      </c>
      <c r="AQ191" s="105" t="str">
        <f t="shared" si="53"/>
        <v>0.000000001</v>
      </c>
      <c r="AR191" s="105" t="str">
        <f t="shared" si="54"/>
        <v>0.000192558139534884+0.739423255813954i</v>
      </c>
      <c r="AS191" s="93" t="str">
        <f t="shared" si="63"/>
        <v>2.30607627906977+0.0001i</v>
      </c>
      <c r="AU191" s="87" t="str">
        <f t="shared" si="51"/>
        <v>0.000192559139534884+0.739423255813954i</v>
      </c>
      <c r="AV191" s="87" t="str">
        <f t="shared" si="55"/>
        <v>0.000370113738418087+1.70516644968101i</v>
      </c>
      <c r="AW191" s="87" t="str">
        <f t="shared" si="56"/>
        <v>2.3062688382093+0.739523255813954i</v>
      </c>
      <c r="AX191" s="87" t="str">
        <f t="shared" si="57"/>
        <v>0.215123282584144+0.670380553094343i</v>
      </c>
      <c r="AY191" s="87" t="str">
        <f t="shared" si="58"/>
        <v>0.215223282584144+0.381543343792017i</v>
      </c>
      <c r="AZ191" s="87">
        <f t="shared" si="59"/>
        <v>38.400000000000006</v>
      </c>
      <c r="BA191" s="87">
        <f t="shared" si="60"/>
        <v>0.43805979564243003</v>
      </c>
    </row>
    <row r="192" spans="1:53" x14ac:dyDescent="0.25">
      <c r="AO192" s="87">
        <f t="shared" si="61"/>
        <v>38.600000000000009</v>
      </c>
      <c r="AP192" s="126" t="str">
        <f t="shared" si="52"/>
        <v>0.0001-0.287340643451018i</v>
      </c>
      <c r="AQ192" s="105" t="str">
        <f t="shared" si="53"/>
        <v>0.000000001</v>
      </c>
      <c r="AR192" s="105" t="str">
        <f t="shared" si="54"/>
        <v>0.000192558139534884+0.743274418604651i</v>
      </c>
      <c r="AS192" s="93" t="str">
        <f t="shared" si="63"/>
        <v>2.30607627906977+0.0001i</v>
      </c>
      <c r="AU192" s="87" t="str">
        <f t="shared" si="51"/>
        <v>0.000192559139534884+0.743274418604651i</v>
      </c>
      <c r="AV192" s="87" t="str">
        <f t="shared" si="55"/>
        <v>0.000369728622139017+1.71404752483947i</v>
      </c>
      <c r="AW192" s="87" t="str">
        <f t="shared" si="56"/>
        <v>2.3062688382093+0.743374418604651i</v>
      </c>
      <c r="AX192" s="87" t="str">
        <f t="shared" si="57"/>
        <v>0.217156739761397+0.673216727360714i</v>
      </c>
      <c r="AY192" s="87" t="str">
        <f t="shared" si="58"/>
        <v>0.217256739761397+0.385876083909696i</v>
      </c>
      <c r="AZ192" s="87">
        <f t="shared" si="59"/>
        <v>38.600000000000009</v>
      </c>
      <c r="BA192" s="87">
        <f t="shared" si="60"/>
        <v>0.44283274845615711</v>
      </c>
    </row>
    <row r="193" spans="41:53" x14ac:dyDescent="0.25">
      <c r="AO193" s="87">
        <f t="shared" si="61"/>
        <v>38.800000000000011</v>
      </c>
      <c r="AP193" s="126" t="str">
        <f t="shared" si="52"/>
        <v>0.0001-0.285859506113642i</v>
      </c>
      <c r="AQ193" s="105" t="str">
        <f t="shared" si="53"/>
        <v>0.000000001</v>
      </c>
      <c r="AR193" s="105" t="str">
        <f t="shared" si="54"/>
        <v>0.000192558139534884+0.747125581395349i</v>
      </c>
      <c r="AS193" s="93" t="str">
        <f t="shared" si="63"/>
        <v>2.30607627906977+0.0001i</v>
      </c>
      <c r="AU193" s="87" t="str">
        <f t="shared" si="51"/>
        <v>0.000192559139534884+0.747125581395349i</v>
      </c>
      <c r="AV193" s="87" t="str">
        <f t="shared" si="55"/>
        <v>0.000369343505859947+1.72292859999794i</v>
      </c>
      <c r="AW193" s="87" t="str">
        <f t="shared" si="56"/>
        <v>2.3062688382093+0.747225581395349i</v>
      </c>
      <c r="AX193" s="87" t="str">
        <f t="shared" si="57"/>
        <v>0.219196777845745+0.676043978221879i</v>
      </c>
      <c r="AY193" s="87" t="str">
        <f t="shared" si="58"/>
        <v>0.219296777845745+0.390184472108237i</v>
      </c>
      <c r="AZ193" s="87">
        <f t="shared" si="59"/>
        <v>38.800000000000011</v>
      </c>
      <c r="BA193" s="87">
        <f t="shared" si="60"/>
        <v>0.44758797911462012</v>
      </c>
    </row>
    <row r="194" spans="41:53" x14ac:dyDescent="0.25">
      <c r="AO194" s="87">
        <f t="shared" si="61"/>
        <v>39.000000000000014</v>
      </c>
      <c r="AP194" s="126" t="str">
        <f t="shared" si="52"/>
        <v>0.0001-0.284393559928444i</v>
      </c>
      <c r="AQ194" s="105" t="str">
        <f t="shared" si="53"/>
        <v>0.000000001</v>
      </c>
      <c r="AR194" s="105" t="str">
        <f t="shared" si="54"/>
        <v>0.000192558139534884+0.750976744186047i</v>
      </c>
      <c r="AS194" s="93" t="str">
        <f t="shared" si="63"/>
        <v>2.30607627906977+0.0001i</v>
      </c>
      <c r="AU194" s="87" t="str">
        <f t="shared" si="51"/>
        <v>0.000192559139534884+0.750976744186047i</v>
      </c>
      <c r="AV194" s="87" t="str">
        <f t="shared" si="55"/>
        <v>0.000368958389580877+1.7318096751564i</v>
      </c>
      <c r="AW194" s="87" t="str">
        <f t="shared" si="56"/>
        <v>2.3062688382093+0.751076744186047i</v>
      </c>
      <c r="AX194" s="87" t="str">
        <f t="shared" si="57"/>
        <v>0.221243346713996+0.6788622890336i</v>
      </c>
      <c r="AY194" s="87" t="str">
        <f t="shared" si="58"/>
        <v>0.221343346713996+0.394468729105156i</v>
      </c>
      <c r="AZ194" s="87">
        <f t="shared" si="59"/>
        <v>39.000000000000014</v>
      </c>
      <c r="BA194" s="87">
        <f t="shared" si="60"/>
        <v>0.45232560769471059</v>
      </c>
    </row>
    <row r="195" spans="41:53" x14ac:dyDescent="0.25">
      <c r="AO195" s="87">
        <f t="shared" si="61"/>
        <v>39.200000000000017</v>
      </c>
      <c r="AP195" s="126" t="str">
        <f t="shared" si="52"/>
        <v>0.0001-0.282942572377788i</v>
      </c>
      <c r="AQ195" s="105" t="str">
        <f t="shared" si="53"/>
        <v>0.000000001</v>
      </c>
      <c r="AR195" s="105" t="str">
        <f t="shared" si="54"/>
        <v>0.000192558139534884+0.754827906976745i</v>
      </c>
      <c r="AS195" s="93" t="str">
        <f t="shared" si="63"/>
        <v>2.30607627906977+0.0001i</v>
      </c>
      <c r="AU195" s="87" t="str">
        <f t="shared" si="51"/>
        <v>0.000192559139534884+0.754827906976745i</v>
      </c>
      <c r="AV195" s="87" t="str">
        <f t="shared" si="55"/>
        <v>0.000368573273301807+1.74069075031487i</v>
      </c>
      <c r="AW195" s="87" t="str">
        <f t="shared" si="56"/>
        <v>2.3062688382093+0.754927906976745i</v>
      </c>
      <c r="AX195" s="87" t="str">
        <f t="shared" si="57"/>
        <v>0.223296396241531+0.681671643486919i</v>
      </c>
      <c r="AY195" s="87" t="str">
        <f t="shared" si="58"/>
        <v>0.223396396241531+0.398729071109131i</v>
      </c>
      <c r="AZ195" s="87">
        <f t="shared" si="59"/>
        <v>39.200000000000017</v>
      </c>
      <c r="BA195" s="87">
        <f t="shared" si="60"/>
        <v>0.45704575482248333</v>
      </c>
    </row>
    <row r="196" spans="41:53" x14ac:dyDescent="0.25">
      <c r="AO196" s="87">
        <f t="shared" si="61"/>
        <v>39.40000000000002</v>
      </c>
      <c r="AP196" s="126" t="str">
        <f t="shared" si="52"/>
        <v>0.0001-0.281506315665211i</v>
      </c>
      <c r="AQ196" s="105" t="str">
        <f t="shared" si="53"/>
        <v>0.000000001</v>
      </c>
      <c r="AR196" s="105" t="str">
        <f t="shared" si="54"/>
        <v>0.000192558139534884+0.758679069767442i</v>
      </c>
      <c r="AS196" s="93" t="str">
        <f t="shared" si="63"/>
        <v>2.30607627906977+0.0001i</v>
      </c>
      <c r="AU196" s="87" t="str">
        <f t="shared" ref="AU196:AU249" si="64">IMSUM(AR196,AQ196)</f>
        <v>0.000192559139534884+0.758679069767442i</v>
      </c>
      <c r="AV196" s="87" t="str">
        <f t="shared" si="55"/>
        <v>0.000368188157022738+1.74957182547333i</v>
      </c>
      <c r="AW196" s="87" t="str">
        <f t="shared" si="56"/>
        <v>2.3062688382093+0.758779069767442i</v>
      </c>
      <c r="AX196" s="87" t="str">
        <f t="shared" si="57"/>
        <v>0.225355876304826+0.684472025607306i</v>
      </c>
      <c r="AY196" s="87" t="str">
        <f t="shared" si="58"/>
        <v>0.225455876304826+0.402965709942095i</v>
      </c>
      <c r="AZ196" s="87">
        <f t="shared" si="59"/>
        <v>39.40000000000002</v>
      </c>
      <c r="BA196" s="87">
        <f t="shared" si="60"/>
        <v>0.46174854146982824</v>
      </c>
    </row>
    <row r="197" spans="41:53" x14ac:dyDescent="0.25">
      <c r="AO197" s="87">
        <f t="shared" si="61"/>
        <v>39.600000000000023</v>
      </c>
      <c r="AP197" s="126" t="str">
        <f t="shared" ref="AP197:AP249" si="65">COMPLEX(0.0001,-1*$D$22/AO197)</f>
        <v>0.0001-0.280084566596194i</v>
      </c>
      <c r="AQ197" s="105" t="str">
        <f t="shared" ref="AQ197:AQ249" si="66">COMPLEX(0.000000001,-1*$D$23/AO197)</f>
        <v>0.000000001</v>
      </c>
      <c r="AR197" s="105" t="str">
        <f t="shared" ref="AR197:AR249" si="67">COMPLEX($D$24/$D$26,$D$24*AO197)</f>
        <v>0.000192558139534884+0.76253023255814i</v>
      </c>
      <c r="AS197" s="93" t="str">
        <f t="shared" si="63"/>
        <v>2.30607627906977+0.0001i</v>
      </c>
      <c r="AU197" s="87" t="str">
        <f t="shared" si="64"/>
        <v>0.000192559139534884+0.76253023255814i</v>
      </c>
      <c r="AV197" s="87" t="str">
        <f t="shared" ref="AV197:AV249" si="68">IMPRODUCT(AU197,AS197)</f>
        <v>0.000367803040743668+1.7584529006318i</v>
      </c>
      <c r="AW197" s="87" t="str">
        <f t="shared" ref="AW197:AW249" si="69">IMSUM(AS197,AU197)</f>
        <v>2.3062688382093+0.76263023255814i</v>
      </c>
      <c r="AX197" s="87" t="str">
        <f t="shared" ref="AX197:AX249" si="70">IMDIV(AV197,AW197)</f>
        <v>0.227421736783977+0.687263419753849i</v>
      </c>
      <c r="AY197" s="87" t="str">
        <f t="shared" ref="AY197:AY249" si="71">IMSUM(AX197,AP197)</f>
        <v>0.227521736783977+0.407178853157655i</v>
      </c>
      <c r="AZ197" s="87">
        <f t="shared" ref="AZ197:AZ249" si="72">AO197</f>
        <v>39.600000000000023</v>
      </c>
      <c r="BA197" s="87">
        <f t="shared" ref="BA197:BA249" si="73">IMABS(AY197)</f>
        <v>0.46643408877137238</v>
      </c>
    </row>
    <row r="198" spans="41:53" x14ac:dyDescent="0.25">
      <c r="AO198" s="87">
        <f t="shared" ref="AO198:AO249" si="74">AO197+0.2</f>
        <v>39.800000000000026</v>
      </c>
      <c r="AP198" s="126" t="str">
        <f t="shared" si="65"/>
        <v>0.0001-0.278677106462545i</v>
      </c>
      <c r="AQ198" s="105" t="str">
        <f t="shared" si="66"/>
        <v>0.000000001</v>
      </c>
      <c r="AR198" s="105" t="str">
        <f t="shared" si="67"/>
        <v>0.000192558139534884+0.766381395348838i</v>
      </c>
      <c r="AS198" s="93" t="str">
        <f t="shared" si="63"/>
        <v>2.30607627906977+0.0001i</v>
      </c>
      <c r="AU198" s="87" t="str">
        <f t="shared" si="64"/>
        <v>0.000192559139534884+0.766381395348838i</v>
      </c>
      <c r="AV198" s="87" t="str">
        <f t="shared" si="68"/>
        <v>0.000367417924464598+1.76733397579026i</v>
      </c>
      <c r="AW198" s="87" t="str">
        <f t="shared" si="69"/>
        <v>2.3062688382093+0.766481395348838i</v>
      </c>
      <c r="AX198" s="87" t="str">
        <f t="shared" si="70"/>
        <v>0.229493927565185+0.690045810618365i</v>
      </c>
      <c r="AY198" s="87" t="str">
        <f t="shared" si="71"/>
        <v>0.229593927565185+0.41136870415582i</v>
      </c>
      <c r="AZ198" s="87">
        <f t="shared" si="72"/>
        <v>39.800000000000026</v>
      </c>
      <c r="BA198" s="87">
        <f t="shared" si="73"/>
        <v>0.47110251785959067</v>
      </c>
    </row>
    <row r="199" spans="41:53" x14ac:dyDescent="0.25">
      <c r="AO199" s="87">
        <f t="shared" si="74"/>
        <v>40.000000000000028</v>
      </c>
      <c r="AP199" s="126" t="str">
        <f t="shared" si="65"/>
        <v>0.0001-0.277283720930232i</v>
      </c>
      <c r="AQ199" s="105" t="str">
        <f t="shared" si="66"/>
        <v>0.000000001</v>
      </c>
      <c r="AR199" s="105" t="str">
        <f t="shared" si="67"/>
        <v>0.000192558139534884+0.770232558139536i</v>
      </c>
      <c r="AS199" s="93" t="str">
        <f t="shared" si="63"/>
        <v>2.30607627906977+0.0001i</v>
      </c>
      <c r="AU199" s="87" t="str">
        <f t="shared" si="64"/>
        <v>0.000192559139534884+0.770232558139536i</v>
      </c>
      <c r="AV199" s="87" t="str">
        <f t="shared" si="68"/>
        <v>0.000367032808185528+1.77621505094873i</v>
      </c>
      <c r="AW199" s="87" t="str">
        <f t="shared" si="69"/>
        <v>2.3062688382093+0.770332558139536i</v>
      </c>
      <c r="AX199" s="87" t="str">
        <f t="shared" si="70"/>
        <v>0.231572398543256+0.692819183224548i</v>
      </c>
      <c r="AY199" s="87" t="str">
        <f t="shared" si="71"/>
        <v>0.231672398543256+0.415535462294316i</v>
      </c>
      <c r="AZ199" s="87">
        <f t="shared" si="72"/>
        <v>40.000000000000028</v>
      </c>
      <c r="BA199" s="87">
        <f t="shared" si="73"/>
        <v>0.47575394971659046</v>
      </c>
    </row>
    <row r="200" spans="41:53" x14ac:dyDescent="0.25">
      <c r="AO200" s="87">
        <f t="shared" si="74"/>
        <v>40.200000000000031</v>
      </c>
      <c r="AP200" s="126" t="str">
        <f t="shared" si="65"/>
        <v>0.0001-0.27590419993058i</v>
      </c>
      <c r="AQ200" s="105" t="str">
        <f t="shared" si="66"/>
        <v>0.000000001</v>
      </c>
      <c r="AR200" s="105" t="str">
        <f t="shared" si="67"/>
        <v>0.000192558139534884+0.774083720930233i</v>
      </c>
      <c r="AS200" s="93" t="str">
        <f t="shared" si="63"/>
        <v>2.30607627906977+0.0001i</v>
      </c>
      <c r="AU200" s="87" t="str">
        <f t="shared" si="64"/>
        <v>0.000192559139534884+0.774083720930233i</v>
      </c>
      <c r="AV200" s="87" t="str">
        <f t="shared" si="68"/>
        <v>0.000366647691906459+1.78509612610719i</v>
      </c>
      <c r="AW200" s="87" t="str">
        <f t="shared" si="69"/>
        <v>2.3062688382093+0.774183720930233i</v>
      </c>
      <c r="AX200" s="87" t="str">
        <f t="shared" si="70"/>
        <v>0.233657099624054+0.695583522927039i</v>
      </c>
      <c r="AY200" s="87" t="str">
        <f t="shared" si="71"/>
        <v>0.233757099624054+0.419679322996459i</v>
      </c>
      <c r="AZ200" s="87">
        <f t="shared" si="72"/>
        <v>40.200000000000031</v>
      </c>
      <c r="BA200" s="87">
        <f t="shared" si="73"/>
        <v>0.48038850504088465</v>
      </c>
    </row>
    <row r="201" spans="41:53" x14ac:dyDescent="0.25">
      <c r="AO201" s="87">
        <f t="shared" si="74"/>
        <v>40.400000000000034</v>
      </c>
      <c r="AP201" s="126" t="str">
        <f t="shared" si="65"/>
        <v>0.0001-0.274538337554686i</v>
      </c>
      <c r="AQ201" s="105" t="str">
        <f t="shared" si="66"/>
        <v>0.000000001</v>
      </c>
      <c r="AR201" s="105" t="str">
        <f t="shared" si="67"/>
        <v>0.000192558139534884+0.777934883720931i</v>
      </c>
      <c r="AS201" s="93" t="str">
        <f t="shared" si="63"/>
        <v>2.30607627906977+0.0001i</v>
      </c>
      <c r="AU201" s="87" t="str">
        <f t="shared" si="64"/>
        <v>0.000192559139534884+0.777934883720931i</v>
      </c>
      <c r="AV201" s="87" t="str">
        <f t="shared" si="68"/>
        <v>0.000366262575627389+1.79397720126565i</v>
      </c>
      <c r="AW201" s="87" t="str">
        <f t="shared" si="69"/>
        <v>2.3062688382093+0.778034883720931i</v>
      </c>
      <c r="AX201" s="87" t="str">
        <f t="shared" si="70"/>
        <v>0.235747980726967+0.698338815410529i</v>
      </c>
      <c r="AY201" s="87" t="str">
        <f t="shared" si="71"/>
        <v>0.235847980726967+0.423800477855843i</v>
      </c>
      <c r="AZ201" s="87">
        <f t="shared" si="72"/>
        <v>40.400000000000034</v>
      </c>
      <c r="BA201" s="87">
        <f t="shared" si="73"/>
        <v>0.48500630412792434</v>
      </c>
    </row>
    <row r="202" spans="41:53" x14ac:dyDescent="0.25">
      <c r="AO202" s="87">
        <f t="shared" si="74"/>
        <v>40.600000000000037</v>
      </c>
      <c r="AP202" s="126" t="str">
        <f t="shared" si="65"/>
        <v>0.0001-0.273185931950968i</v>
      </c>
      <c r="AQ202" s="105" t="str">
        <f t="shared" si="66"/>
        <v>0.000000001</v>
      </c>
      <c r="AR202" s="105" t="str">
        <f t="shared" si="67"/>
        <v>0.000192558139534884+0.781786046511629i</v>
      </c>
      <c r="AS202" s="93" t="str">
        <f t="shared" si="63"/>
        <v>2.30607627906977+0.0001i</v>
      </c>
      <c r="AU202" s="87" t="str">
        <f t="shared" si="64"/>
        <v>0.000192559139534884+0.781786046511629i</v>
      </c>
      <c r="AV202" s="87" t="str">
        <f t="shared" si="68"/>
        <v>0.000365877459348319+1.80285827642412i</v>
      </c>
      <c r="AW202" s="87" t="str">
        <f t="shared" si="69"/>
        <v>2.3062688382093+0.781886046511629i</v>
      </c>
      <c r="AX202" s="87" t="str">
        <f t="shared" si="70"/>
        <v>0.237844991787339+0.701085046688815i</v>
      </c>
      <c r="AY202" s="87" t="str">
        <f t="shared" si="71"/>
        <v>0.237944991787339+0.427899114737847i</v>
      </c>
      <c r="AZ202" s="87">
        <f t="shared" si="72"/>
        <v>40.600000000000037</v>
      </c>
      <c r="BA202" s="87">
        <f t="shared" si="73"/>
        <v>0.48960746676302841</v>
      </c>
    </row>
    <row r="203" spans="41:53" x14ac:dyDescent="0.25">
      <c r="AO203" s="87">
        <f t="shared" si="74"/>
        <v>40.80000000000004</v>
      </c>
      <c r="AP203" s="126" t="str">
        <f t="shared" si="65"/>
        <v>0.0001-0.271846785225718i</v>
      </c>
      <c r="AQ203" s="105" t="str">
        <f t="shared" si="66"/>
        <v>0.000000001</v>
      </c>
      <c r="AR203" s="105" t="str">
        <f t="shared" si="67"/>
        <v>0.000192558139534884+0.785637209302327i</v>
      </c>
      <c r="AS203" s="93" t="str">
        <f t="shared" si="63"/>
        <v>2.30607627906977+0.0001i</v>
      </c>
      <c r="AU203" s="87" t="str">
        <f t="shared" si="64"/>
        <v>0.000192559139534884+0.785637209302327i</v>
      </c>
      <c r="AV203" s="87" t="str">
        <f t="shared" si="68"/>
        <v>0.000365492343069249+1.81173935158258i</v>
      </c>
      <c r="AW203" s="87" t="str">
        <f t="shared" si="69"/>
        <v>2.3062688382093+0.785737209302327i</v>
      </c>
      <c r="AX203" s="87" t="str">
        <f t="shared" si="70"/>
        <v>0.239948082758886+0.703822203103825i</v>
      </c>
      <c r="AY203" s="87" t="str">
        <f t="shared" si="71"/>
        <v>0.240048082758886+0.431975417878107i</v>
      </c>
      <c r="AZ203" s="87">
        <f t="shared" si="72"/>
        <v>40.80000000000004</v>
      </c>
      <c r="BA203" s="87">
        <f t="shared" si="73"/>
        <v>0.49419211212562075</v>
      </c>
    </row>
    <row r="204" spans="41:53" x14ac:dyDescent="0.25">
      <c r="AO204" s="87">
        <f t="shared" si="74"/>
        <v>41.000000000000043</v>
      </c>
      <c r="AP204" s="126" t="str">
        <f t="shared" si="65"/>
        <v>0.0001-0.270520703346568i</v>
      </c>
      <c r="AQ204" s="105" t="str">
        <f t="shared" si="66"/>
        <v>0.000000001</v>
      </c>
      <c r="AR204" s="105" t="str">
        <f t="shared" si="67"/>
        <v>0.000192558139534884+0.789488372093024i</v>
      </c>
      <c r="AS204" s="93" t="str">
        <f t="shared" si="63"/>
        <v>2.30607627906977+0.0001i</v>
      </c>
      <c r="AU204" s="87" t="str">
        <f t="shared" si="64"/>
        <v>0.000192559139534884+0.789488372093024i</v>
      </c>
      <c r="AV204" s="87" t="str">
        <f t="shared" si="68"/>
        <v>0.00036510722679018+1.82062042674104i</v>
      </c>
      <c r="AW204" s="87" t="str">
        <f t="shared" si="69"/>
        <v>2.3062688382093+0.789588372093024i</v>
      </c>
      <c r="AX204" s="87" t="str">
        <f t="shared" si="70"/>
        <v>0.24205720361611+0.706550271324667i</v>
      </c>
      <c r="AY204" s="87" t="str">
        <f t="shared" si="71"/>
        <v>0.24215720361611+0.436029567978099i</v>
      </c>
      <c r="AZ204" s="87">
        <f t="shared" si="72"/>
        <v>41.000000000000043</v>
      </c>
      <c r="BA204" s="87">
        <f t="shared" si="73"/>
        <v>0.49876035870379853</v>
      </c>
    </row>
    <row r="205" spans="41:53" x14ac:dyDescent="0.25">
      <c r="AO205" s="87">
        <f t="shared" si="74"/>
        <v>41.200000000000045</v>
      </c>
      <c r="AP205" s="126" t="str">
        <f t="shared" si="65"/>
        <v>0.0001-0.269207496048769i</v>
      </c>
      <c r="AQ205" s="105" t="str">
        <f t="shared" si="66"/>
        <v>0.000000001</v>
      </c>
      <c r="AR205" s="105" t="str">
        <f t="shared" si="67"/>
        <v>0.000192558139534884+0.793339534883722i</v>
      </c>
      <c r="AS205" s="93" t="str">
        <f t="shared" si="63"/>
        <v>2.30607627906977+0.0001i</v>
      </c>
      <c r="AU205" s="87" t="str">
        <f t="shared" si="64"/>
        <v>0.000192559139534884+0.793339534883722i</v>
      </c>
      <c r="AV205" s="87" t="str">
        <f t="shared" si="68"/>
        <v>0.00036472211051111+1.82950150189951i</v>
      </c>
      <c r="AW205" s="87" t="str">
        <f t="shared" si="69"/>
        <v>2.3062688382093+0.793439534883722i</v>
      </c>
      <c r="AX205" s="87" t="str">
        <f t="shared" si="70"/>
        <v>0.244172304356687+0.70926923834662i</v>
      </c>
      <c r="AY205" s="87" t="str">
        <f t="shared" si="71"/>
        <v>0.244272304356687+0.440061742297851i</v>
      </c>
      <c r="AZ205" s="87">
        <f t="shared" si="72"/>
        <v>41.200000000000045</v>
      </c>
      <c r="BA205" s="87">
        <f t="shared" si="73"/>
        <v>0.50331232421821959</v>
      </c>
    </row>
    <row r="206" spans="41:53" x14ac:dyDescent="0.25">
      <c r="AO206" s="87">
        <f t="shared" si="74"/>
        <v>41.400000000000048</v>
      </c>
      <c r="AP206" s="126" t="str">
        <f t="shared" si="65"/>
        <v>0.0001-0.267906976744186i</v>
      </c>
      <c r="AQ206" s="105" t="str">
        <f t="shared" si="66"/>
        <v>0.000000001</v>
      </c>
      <c r="AR206" s="105" t="str">
        <f t="shared" si="67"/>
        <v>0.000192558139534884+0.79719069767442i</v>
      </c>
      <c r="AS206" s="93" t="str">
        <f t="shared" si="63"/>
        <v>2.30607627906977+0.0001i</v>
      </c>
      <c r="AU206" s="87" t="str">
        <f t="shared" si="64"/>
        <v>0.000192559139534884+0.79719069767442i</v>
      </c>
      <c r="AV206" s="87" t="str">
        <f t="shared" si="68"/>
        <v>0.00036433699423204+1.83838257705797i</v>
      </c>
      <c r="AW206" s="87" t="str">
        <f t="shared" si="69"/>
        <v>2.3062688382093+0.79729069767442i</v>
      </c>
      <c r="AX206" s="87" t="str">
        <f t="shared" si="70"/>
        <v>0.246293335003831+0.711979091490109i</v>
      </c>
      <c r="AY206" s="87" t="str">
        <f t="shared" si="71"/>
        <v>0.246393335003831+0.444072114745923i</v>
      </c>
      <c r="AZ206" s="87">
        <f t="shared" si="72"/>
        <v>41.400000000000048</v>
      </c>
      <c r="BA206" s="87">
        <f t="shared" si="73"/>
        <v>0.50784812555450698</v>
      </c>
    </row>
    <row r="207" spans="41:53" x14ac:dyDescent="0.25">
      <c r="AO207" s="87">
        <f t="shared" si="74"/>
        <v>41.600000000000051</v>
      </c>
      <c r="AP207" s="126" t="str">
        <f t="shared" si="65"/>
        <v>0.0001-0.266618962432916i</v>
      </c>
      <c r="AQ207" s="105" t="str">
        <f t="shared" si="66"/>
        <v>0.000000001</v>
      </c>
      <c r="AR207" s="105" t="str">
        <f t="shared" si="67"/>
        <v>0.000192558139534884+0.801041860465117i</v>
      </c>
      <c r="AS207" s="93" t="str">
        <f t="shared" si="63"/>
        <v>2.30607627906977+0.0001i</v>
      </c>
      <c r="AU207" s="87" t="str">
        <f t="shared" si="64"/>
        <v>0.000192559139534884+0.801041860465117i</v>
      </c>
      <c r="AV207" s="87" t="str">
        <f t="shared" si="68"/>
        <v>0.00036395187795297+1.84726365221644i</v>
      </c>
      <c r="AW207" s="87" t="str">
        <f t="shared" si="69"/>
        <v>2.3062688382093+0.801141860465117i</v>
      </c>
      <c r="AX207" s="87" t="str">
        <f t="shared" si="70"/>
        <v>0.248420245608664+0.714679818399702i</v>
      </c>
      <c r="AY207" s="87" t="str">
        <f t="shared" si="71"/>
        <v>0.248520245608664+0.448060855966786i</v>
      </c>
      <c r="AZ207" s="87">
        <f t="shared" si="72"/>
        <v>41.600000000000051</v>
      </c>
      <c r="BA207" s="87">
        <f t="shared" si="73"/>
        <v>0.51236787870345624</v>
      </c>
    </row>
    <row r="208" spans="41:53" x14ac:dyDescent="0.25">
      <c r="AO208" s="87">
        <f t="shared" si="74"/>
        <v>41.800000000000054</v>
      </c>
      <c r="AP208" s="126" t="str">
        <f t="shared" si="65"/>
        <v>0.0001-0.265343273617447i</v>
      </c>
      <c r="AQ208" s="105" t="str">
        <f t="shared" si="66"/>
        <v>0.000000001</v>
      </c>
      <c r="AR208" s="105" t="str">
        <f t="shared" si="67"/>
        <v>0.000192558139534884+0.804893023255815i</v>
      </c>
      <c r="AS208" s="93" t="str">
        <f t="shared" si="63"/>
        <v>2.30607627906977+0.0001i</v>
      </c>
      <c r="AU208" s="87" t="str">
        <f t="shared" si="64"/>
        <v>0.000192559139534884+0.804893023255815i</v>
      </c>
      <c r="AV208" s="87" t="str">
        <f t="shared" si="68"/>
        <v>0.0003635667616739+1.8561447273749i</v>
      </c>
      <c r="AW208" s="87" t="str">
        <f t="shared" si="69"/>
        <v>2.3062688382093+0.804993023255815i</v>
      </c>
      <c r="AX208" s="87" t="str">
        <f t="shared" si="70"/>
        <v>0.250552986252541+0.717371407043028i</v>
      </c>
      <c r="AY208" s="87" t="str">
        <f t="shared" si="71"/>
        <v>0.250652986252541+0.452028133425581i</v>
      </c>
      <c r="AZ208" s="87">
        <f t="shared" si="72"/>
        <v>41.800000000000054</v>
      </c>
      <c r="BA208" s="87">
        <f t="shared" si="73"/>
        <v>0.51687169870823002</v>
      </c>
    </row>
    <row r="209" spans="41:53" x14ac:dyDescent="0.25">
      <c r="AO209" s="87">
        <f t="shared" si="74"/>
        <v>42.000000000000057</v>
      </c>
      <c r="AP209" s="126" t="str">
        <f t="shared" si="65"/>
        <v>0.0001-0.264079734219269i</v>
      </c>
      <c r="AQ209" s="105" t="str">
        <f t="shared" si="66"/>
        <v>0.000000001</v>
      </c>
      <c r="AR209" s="105" t="str">
        <f t="shared" si="67"/>
        <v>0.000192558139534884+0.808744186046513i</v>
      </c>
      <c r="AS209" s="93" t="str">
        <f t="shared" si="63"/>
        <v>2.30607627906977+0.0001i</v>
      </c>
      <c r="AU209" s="87" t="str">
        <f t="shared" si="64"/>
        <v>0.000192559139534884+0.808744186046513i</v>
      </c>
      <c r="AV209" s="87" t="str">
        <f t="shared" si="68"/>
        <v>0.000363181645394831+1.86502580253337i</v>
      </c>
      <c r="AW209" s="87" t="str">
        <f t="shared" si="69"/>
        <v>2.3062688382093+0.808844186046513i</v>
      </c>
      <c r="AX209" s="87" t="str">
        <f t="shared" si="70"/>
        <v>0.252691507049389+0.72005384570974i</v>
      </c>
      <c r="AY209" s="87" t="str">
        <f t="shared" si="71"/>
        <v>0.252791507049389+0.455974111490471i</v>
      </c>
      <c r="AZ209" s="87">
        <f t="shared" si="72"/>
        <v>42.000000000000057</v>
      </c>
      <c r="BA209" s="87">
        <f t="shared" si="73"/>
        <v>0.5213596996180524</v>
      </c>
    </row>
    <row r="210" spans="41:53" x14ac:dyDescent="0.25">
      <c r="AO210" s="87">
        <f t="shared" si="74"/>
        <v>42.20000000000006</v>
      </c>
      <c r="AP210" s="126" t="str">
        <f t="shared" si="65"/>
        <v>0.0001-0.26282817149785i</v>
      </c>
      <c r="AQ210" s="105" t="str">
        <f t="shared" si="66"/>
        <v>0.000000001</v>
      </c>
      <c r="AR210" s="105" t="str">
        <f t="shared" si="67"/>
        <v>0.000192558139534884+0.812595348837211i</v>
      </c>
      <c r="AS210" s="93" t="str">
        <f t="shared" si="63"/>
        <v>2.30607627906977+0.0001i</v>
      </c>
      <c r="AU210" s="87" t="str">
        <f t="shared" si="64"/>
        <v>0.000192559139534884+0.812595348837211i</v>
      </c>
      <c r="AV210" s="87" t="str">
        <f t="shared" si="68"/>
        <v>0.000362796529115761+1.87390687769183i</v>
      </c>
      <c r="AW210" s="87" t="str">
        <f t="shared" si="69"/>
        <v>2.3062688382093+0.812695348837211i</v>
      </c>
      <c r="AX210" s="87" t="str">
        <f t="shared" si="70"/>
        <v>0.254835758147997+0.722727123010401i</v>
      </c>
      <c r="AY210" s="87" t="str">
        <f t="shared" si="71"/>
        <v>0.254935758147997+0.459898951512551i</v>
      </c>
      <c r="AZ210" s="87">
        <f t="shared" si="72"/>
        <v>42.20000000000006</v>
      </c>
      <c r="BA210" s="87">
        <f t="shared" si="73"/>
        <v>0.52583199444769224</v>
      </c>
    </row>
    <row r="211" spans="41:53" x14ac:dyDescent="0.25">
      <c r="AO211" s="87">
        <f t="shared" si="74"/>
        <v>42.400000000000063</v>
      </c>
      <c r="AP211" s="126" t="str">
        <f t="shared" si="65"/>
        <v>0.0001-0.261588415971917i</v>
      </c>
      <c r="AQ211" s="105" t="str">
        <f t="shared" si="66"/>
        <v>0.000000001</v>
      </c>
      <c r="AR211" s="105" t="str">
        <f t="shared" si="67"/>
        <v>0.000192558139534884+0.816446511627908i</v>
      </c>
      <c r="AS211" s="93" t="str">
        <f t="shared" si="63"/>
        <v>2.30607627906977+0.0001i</v>
      </c>
      <c r="AU211" s="87" t="str">
        <f t="shared" si="64"/>
        <v>0.000192559139534884+0.816446511627908i</v>
      </c>
      <c r="AV211" s="87" t="str">
        <f t="shared" si="68"/>
        <v>0.000362411412836691+1.88278795285029i</v>
      </c>
      <c r="AW211" s="87" t="str">
        <f t="shared" si="69"/>
        <v>2.3062688382093+0.816546511627908i</v>
      </c>
      <c r="AX211" s="87" t="str">
        <f t="shared" si="70"/>
        <v>0.256985689734321+0.72539122787541i</v>
      </c>
      <c r="AY211" s="87" t="str">
        <f t="shared" si="71"/>
        <v>0.257085689734321+0.463802811903493i</v>
      </c>
      <c r="AZ211" s="87">
        <f t="shared" si="72"/>
        <v>42.400000000000063</v>
      </c>
      <c r="BA211" s="87">
        <f t="shared" si="73"/>
        <v>0.53028869514233323</v>
      </c>
    </row>
    <row r="212" spans="41:53" x14ac:dyDescent="0.25">
      <c r="AO212" s="87">
        <f t="shared" si="74"/>
        <v>42.600000000000065</v>
      </c>
      <c r="AP212" s="126" t="str">
        <f t="shared" si="65"/>
        <v>0.0001-0.260360301342941i</v>
      </c>
      <c r="AQ212" s="105" t="str">
        <f t="shared" si="66"/>
        <v>0.000000001</v>
      </c>
      <c r="AR212" s="105" t="str">
        <f t="shared" si="67"/>
        <v>0.000192558139534884+0.820297674418606i</v>
      </c>
      <c r="AS212" s="93" t="str">
        <f t="shared" si="63"/>
        <v>2.30607627906977+0.0001i</v>
      </c>
      <c r="AU212" s="87" t="str">
        <f t="shared" si="64"/>
        <v>0.000192559139534884+0.820297674418606i</v>
      </c>
      <c r="AV212" s="87" t="str">
        <f t="shared" si="68"/>
        <v>0.000362026296557621+1.89166902800876i</v>
      </c>
      <c r="AW212" s="87" t="str">
        <f t="shared" si="69"/>
        <v>2.3062688382093+0.820397674418606i</v>
      </c>
      <c r="AX212" s="87" t="str">
        <f t="shared" si="70"/>
        <v>0.259141252033746+0.728046149553866i</v>
      </c>
      <c r="AY212" s="87" t="str">
        <f t="shared" si="71"/>
        <v>0.259241252033746+0.467685848210925i</v>
      </c>
      <c r="AZ212" s="87">
        <f t="shared" si="72"/>
        <v>42.600000000000065</v>
      </c>
      <c r="BA212" s="87">
        <f t="shared" si="73"/>
        <v>0.53472991254725655</v>
      </c>
    </row>
    <row r="213" spans="41:53" x14ac:dyDescent="0.25">
      <c r="AO213" s="87">
        <f t="shared" si="74"/>
        <v>42.800000000000068</v>
      </c>
      <c r="AP213" s="126" t="str">
        <f t="shared" si="65"/>
        <v>0.0001-0.259143664420778i</v>
      </c>
      <c r="AQ213" s="105" t="str">
        <f t="shared" si="66"/>
        <v>0.000000001</v>
      </c>
      <c r="AR213" s="105" t="str">
        <f t="shared" si="67"/>
        <v>0.000192558139534884+0.824148837209304i</v>
      </c>
      <c r="AS213" s="93" t="str">
        <f t="shared" si="63"/>
        <v>2.30607627906977+0.0001i</v>
      </c>
      <c r="AU213" s="87" t="str">
        <f t="shared" si="64"/>
        <v>0.000192559139534884+0.824148837209304i</v>
      </c>
      <c r="AV213" s="87" t="str">
        <f t="shared" si="68"/>
        <v>0.000361641180278552+1.90055010316722i</v>
      </c>
      <c r="AW213" s="87" t="str">
        <f t="shared" si="69"/>
        <v>2.3062688382093+0.824248837209304i</v>
      </c>
      <c r="AX213" s="87" t="str">
        <f t="shared" si="70"/>
        <v>0.261302395313342+0.730691877612431i</v>
      </c>
      <c r="AY213" s="87" t="str">
        <f t="shared" si="71"/>
        <v>0.261402395313342+0.471548213191653i</v>
      </c>
      <c r="AZ213" s="87">
        <f t="shared" si="72"/>
        <v>42.800000000000068</v>
      </c>
      <c r="BA213" s="87">
        <f t="shared" si="73"/>
        <v>0.53915575638195068</v>
      </c>
    </row>
    <row r="214" spans="41:53" x14ac:dyDescent="0.25">
      <c r="AO214" s="87">
        <f t="shared" si="74"/>
        <v>43.000000000000071</v>
      </c>
      <c r="AP214" s="126" t="str">
        <f t="shared" si="65"/>
        <v>0.0001-0.257938345051379i</v>
      </c>
      <c r="AQ214" s="105" t="str">
        <f t="shared" si="66"/>
        <v>0.000000001</v>
      </c>
      <c r="AR214" s="105" t="str">
        <f t="shared" si="67"/>
        <v>0.000192558139534884+0.828000000000002i</v>
      </c>
      <c r="AS214" s="93" t="str">
        <f t="shared" si="63"/>
        <v>2.30607627906977+0.0001i</v>
      </c>
      <c r="AU214" s="87" t="str">
        <f t="shared" si="64"/>
        <v>0.000192559139534884+0.828000000000002i</v>
      </c>
      <c r="AV214" s="87" t="str">
        <f t="shared" si="68"/>
        <v>0.000361256063999482+1.90943117832569i</v>
      </c>
      <c r="AW214" s="87" t="str">
        <f t="shared" si="69"/>
        <v>2.3062688382093+0.828100000000002i</v>
      </c>
      <c r="AX214" s="87" t="str">
        <f t="shared" si="70"/>
        <v>0.263469069884109+0.733328401934195i</v>
      </c>
      <c r="AY214" s="87" t="str">
        <f t="shared" si="71"/>
        <v>0.263569069884109+0.475390056882816i</v>
      </c>
      <c r="AZ214" s="87">
        <f t="shared" si="72"/>
        <v>43.000000000000071</v>
      </c>
      <c r="BA214" s="87">
        <f t="shared" si="73"/>
        <v>0.54356633521827058</v>
      </c>
    </row>
    <row r="215" spans="41:53" x14ac:dyDescent="0.25">
      <c r="AO215" s="87">
        <f t="shared" si="74"/>
        <v>43.200000000000074</v>
      </c>
      <c r="AP215" s="126" t="str">
        <f t="shared" si="65"/>
        <v>0.0001-0.256744186046511i</v>
      </c>
      <c r="AQ215" s="105" t="str">
        <f t="shared" si="66"/>
        <v>0.000000001</v>
      </c>
      <c r="AR215" s="105" t="str">
        <f t="shared" si="67"/>
        <v>0.000192558139534884+0.831851162790699i</v>
      </c>
      <c r="AS215" s="93" t="str">
        <f t="shared" si="63"/>
        <v>2.30607627906977+0.0001i</v>
      </c>
      <c r="AU215" s="87" t="str">
        <f t="shared" si="64"/>
        <v>0.000192559139534884+0.831851162790699i</v>
      </c>
      <c r="AV215" s="87" t="str">
        <f t="shared" si="68"/>
        <v>0.000360870947720412+1.91831225348415i</v>
      </c>
      <c r="AW215" s="87" t="str">
        <f t="shared" si="69"/>
        <v>2.3062688382093+0.831951162790699i</v>
      </c>
      <c r="AX215" s="87" t="str">
        <f t="shared" si="70"/>
        <v>0.265641226103187+0.735955712717487i</v>
      </c>
      <c r="AY215" s="87" t="str">
        <f t="shared" si="71"/>
        <v>0.265741226103187+0.479211526670976i</v>
      </c>
      <c r="AZ215" s="87">
        <f t="shared" si="72"/>
        <v>43.200000000000074</v>
      </c>
      <c r="BA215" s="87">
        <f t="shared" si="73"/>
        <v>0.54796175646221212</v>
      </c>
    </row>
    <row r="216" spans="41:53" x14ac:dyDescent="0.25">
      <c r="AO216" s="87">
        <f t="shared" si="74"/>
        <v>43.400000000000077</v>
      </c>
      <c r="AP216" s="126" t="str">
        <f t="shared" si="65"/>
        <v>0.0001-0.255561033115421i</v>
      </c>
      <c r="AQ216" s="105" t="str">
        <f t="shared" si="66"/>
        <v>0.000000001</v>
      </c>
      <c r="AR216" s="105" t="str">
        <f t="shared" si="67"/>
        <v>0.000192558139534884+0.835702325581397i</v>
      </c>
      <c r="AS216" s="93" t="str">
        <f t="shared" si="63"/>
        <v>2.30607627906977+0.0001i</v>
      </c>
      <c r="AU216" s="87" t="str">
        <f t="shared" si="64"/>
        <v>0.000192559139534884+0.835702325581397i</v>
      </c>
      <c r="AV216" s="87" t="str">
        <f t="shared" si="68"/>
        <v>0.000360485831441342+1.92719332864262i</v>
      </c>
      <c r="AW216" s="87" t="str">
        <f t="shared" si="69"/>
        <v>2.3062688382093+0.835802325581397i</v>
      </c>
      <c r="AX216" s="87" t="str">
        <f t="shared" si="70"/>
        <v>0.267818814376073+0.738573800474714i</v>
      </c>
      <c r="AY216" s="87" t="str">
        <f t="shared" si="71"/>
        <v>0.267918814376073+0.483012767359293i</v>
      </c>
      <c r="AZ216" s="87">
        <f t="shared" si="72"/>
        <v>43.400000000000077</v>
      </c>
      <c r="BA216" s="87">
        <f t="shared" si="73"/>
        <v>0.55234212633906821</v>
      </c>
    </row>
    <row r="217" spans="41:53" x14ac:dyDescent="0.25">
      <c r="AO217" s="87">
        <f t="shared" si="74"/>
        <v>43.60000000000008</v>
      </c>
      <c r="AP217" s="126" t="str">
        <f t="shared" si="65"/>
        <v>0.0001-0.254388734798378i</v>
      </c>
      <c r="AQ217" s="105" t="str">
        <f t="shared" si="66"/>
        <v>0.000000001</v>
      </c>
      <c r="AR217" s="105" t="str">
        <f t="shared" si="67"/>
        <v>0.000192558139534884+0.839553488372095i</v>
      </c>
      <c r="AS217" s="93" t="str">
        <f t="shared" si="63"/>
        <v>2.30607627906977+0.0001i</v>
      </c>
      <c r="AU217" s="87" t="str">
        <f t="shared" si="64"/>
        <v>0.000192559139534884+0.839553488372095i</v>
      </c>
      <c r="AV217" s="87" t="str">
        <f t="shared" si="68"/>
        <v>0.000360100715162272+1.93607440380108i</v>
      </c>
      <c r="AW217" s="87" t="str">
        <f t="shared" si="69"/>
        <v>2.3062688382093+0.839653488372095i</v>
      </c>
      <c r="AX217" s="87" t="str">
        <f t="shared" si="70"/>
        <v>0.27000178515879+0.741182656031135i</v>
      </c>
      <c r="AY217" s="87" t="str">
        <f t="shared" si="71"/>
        <v>0.27010178515879+0.486793921232757i</v>
      </c>
      <c r="AZ217" s="87">
        <f t="shared" si="72"/>
        <v>43.60000000000008</v>
      </c>
      <c r="BA217" s="87">
        <f t="shared" si="73"/>
        <v>0.55670754988155924</v>
      </c>
    </row>
    <row r="218" spans="41:53" x14ac:dyDescent="0.25">
      <c r="AO218" s="87">
        <f t="shared" si="74"/>
        <v>43.800000000000082</v>
      </c>
      <c r="AP218" s="126" t="str">
        <f t="shared" si="65"/>
        <v>0.0001-0.253227142402038i</v>
      </c>
      <c r="AQ218" s="105" t="str">
        <f t="shared" si="66"/>
        <v>0.000000001</v>
      </c>
      <c r="AR218" s="105" t="str">
        <f t="shared" si="67"/>
        <v>0.000192558139534884+0.843404651162792i</v>
      </c>
      <c r="AS218" s="93" t="str">
        <f t="shared" si="63"/>
        <v>2.30607627906977+0.0001i</v>
      </c>
      <c r="AU218" s="87" t="str">
        <f t="shared" si="64"/>
        <v>0.000192559139534884+0.843404651162792i</v>
      </c>
      <c r="AV218" s="87" t="str">
        <f t="shared" si="68"/>
        <v>0.000359715598883203+1.94495547895954i</v>
      </c>
      <c r="AW218" s="87" t="str">
        <f t="shared" si="69"/>
        <v>2.3062688382093+0.843504651162792i</v>
      </c>
      <c r="AX218" s="87" t="str">
        <f t="shared" si="70"/>
        <v>0.272190088960069+0.743782270523674i</v>
      </c>
      <c r="AY218" s="87" t="str">
        <f t="shared" si="71"/>
        <v>0.272290088960069+0.490555128121636i</v>
      </c>
      <c r="AZ218" s="87">
        <f t="shared" si="72"/>
        <v>43.800000000000082</v>
      </c>
      <c r="BA218" s="87">
        <f t="shared" si="73"/>
        <v>0.56105813092077816</v>
      </c>
    </row>
    <row r="219" spans="41:53" x14ac:dyDescent="0.25">
      <c r="AO219" s="87">
        <f t="shared" si="74"/>
        <v>44.000000000000085</v>
      </c>
      <c r="AP219" s="126" t="str">
        <f t="shared" si="65"/>
        <v>0.0001-0.252076109936575i</v>
      </c>
      <c r="AQ219" s="105" t="str">
        <f t="shared" si="66"/>
        <v>0.000000001</v>
      </c>
      <c r="AR219" s="105" t="str">
        <f t="shared" si="67"/>
        <v>0.000192558139534884+0.84725581395349i</v>
      </c>
      <c r="AS219" s="93" t="str">
        <f t="shared" si="63"/>
        <v>2.30607627906977+0.0001i</v>
      </c>
      <c r="AU219" s="87" t="str">
        <f t="shared" si="64"/>
        <v>0.000192559139534884+0.84725581395349i</v>
      </c>
      <c r="AV219" s="87" t="str">
        <f t="shared" si="68"/>
        <v>0.000359330482604133+1.95383655411801i</v>
      </c>
      <c r="AW219" s="87" t="str">
        <f t="shared" si="69"/>
        <v>2.3062688382093+0.84735581395349i</v>
      </c>
      <c r="AX219" s="87" t="str">
        <f t="shared" si="70"/>
        <v>0.274383676343494+0.746372635399673i</v>
      </c>
      <c r="AY219" s="87" t="str">
        <f t="shared" si="71"/>
        <v>0.274483676343494+0.494296525463098i</v>
      </c>
      <c r="AZ219" s="87">
        <f t="shared" si="72"/>
        <v>44.000000000000085</v>
      </c>
      <c r="BA219" s="87">
        <f t="shared" si="73"/>
        <v>0.56539397207958542</v>
      </c>
    </row>
    <row r="220" spans="41:53" x14ac:dyDescent="0.25">
      <c r="AO220" s="87">
        <f t="shared" si="74"/>
        <v>44.200000000000088</v>
      </c>
      <c r="AP220" s="126" t="str">
        <f t="shared" si="65"/>
        <v>0.0001-0.250935494054509i</v>
      </c>
      <c r="AQ220" s="105" t="str">
        <f t="shared" si="66"/>
        <v>0.000000001</v>
      </c>
      <c r="AR220" s="105" t="str">
        <f t="shared" si="67"/>
        <v>0.000192558139534884+0.851106976744188i</v>
      </c>
      <c r="AS220" s="93" t="str">
        <f t="shared" si="63"/>
        <v>2.30607627906977+0.0001i</v>
      </c>
      <c r="AU220" s="87" t="str">
        <f t="shared" si="64"/>
        <v>0.000192559139534884+0.851106976744188i</v>
      </c>
      <c r="AV220" s="87" t="str">
        <f t="shared" si="68"/>
        <v>0.000358945366325063+1.96271762927647i</v>
      </c>
      <c r="AW220" s="87" t="str">
        <f t="shared" si="69"/>
        <v>2.3062688382093+0.851206976744188i</v>
      </c>
      <c r="AX220" s="87" t="str">
        <f t="shared" si="70"/>
        <v>0.276582497929629+0.748953742415644i</v>
      </c>
      <c r="AY220" s="87" t="str">
        <f t="shared" si="71"/>
        <v>0.276682497929629+0.498018248361135i</v>
      </c>
      <c r="AZ220" s="87">
        <f t="shared" si="72"/>
        <v>44.200000000000088</v>
      </c>
      <c r="BA220" s="87">
        <f t="shared" si="73"/>
        <v>0.56971517476829803</v>
      </c>
    </row>
    <row r="221" spans="41:53" x14ac:dyDescent="0.25">
      <c r="AO221" s="87">
        <f t="shared" si="74"/>
        <v>44.400000000000091</v>
      </c>
      <c r="AP221" s="126" t="str">
        <f t="shared" si="65"/>
        <v>0.0001-0.2498051539912i</v>
      </c>
      <c r="AQ221" s="105" t="str">
        <f t="shared" si="66"/>
        <v>0.000000001</v>
      </c>
      <c r="AR221" s="105" t="str">
        <f t="shared" si="67"/>
        <v>0.000192558139534884+0.854958139534886i</v>
      </c>
      <c r="AS221" s="93" t="str">
        <f t="shared" si="63"/>
        <v>2.30607627906977+0.0001i</v>
      </c>
      <c r="AU221" s="87" t="str">
        <f t="shared" si="64"/>
        <v>0.000192559139534884+0.854958139534886i</v>
      </c>
      <c r="AV221" s="87" t="str">
        <f t="shared" si="68"/>
        <v>0.000358560250045993+1.97159870443494i</v>
      </c>
      <c r="AW221" s="87" t="str">
        <f t="shared" si="69"/>
        <v>2.3062688382093+0.855058139534886i</v>
      </c>
      <c r="AX221" s="87" t="str">
        <f t="shared" si="70"/>
        <v>0.278786504398143+0.751525583636028i</v>
      </c>
      <c r="AY221" s="87" t="str">
        <f t="shared" si="71"/>
        <v>0.278886504398143+0.501720429644828i</v>
      </c>
      <c r="AZ221" s="87">
        <f t="shared" si="72"/>
        <v>44.400000000000091</v>
      </c>
      <c r="BA221" s="87">
        <f t="shared" si="73"/>
        <v>0.5740218391824532</v>
      </c>
    </row>
    <row r="222" spans="41:53" x14ac:dyDescent="0.25">
      <c r="AO222" s="87">
        <f t="shared" si="74"/>
        <v>44.600000000000094</v>
      </c>
      <c r="AP222" s="126" t="str">
        <f t="shared" si="65"/>
        <v>0.0001-0.248684951506935i</v>
      </c>
      <c r="AQ222" s="105" t="str">
        <f t="shared" si="66"/>
        <v>0.000000001</v>
      </c>
      <c r="AR222" s="105" t="str">
        <f t="shared" si="67"/>
        <v>0.000192558139534884+0.858809302325583i</v>
      </c>
      <c r="AS222" s="93" t="str">
        <f t="shared" si="63"/>
        <v>2.30607627906977+0.0001i</v>
      </c>
      <c r="AU222" s="87" t="str">
        <f t="shared" si="64"/>
        <v>0.000192559139534884+0.858809302325583i</v>
      </c>
      <c r="AV222" s="87" t="str">
        <f t="shared" si="68"/>
        <v>0.000358175133766924+1.9804797795934i</v>
      </c>
      <c r="AW222" s="87" t="str">
        <f t="shared" si="69"/>
        <v>2.3062688382093+0.858909302325583i</v>
      </c>
      <c r="AX222" s="87" t="str">
        <f t="shared" si="70"/>
        <v>0.280995646489897+0.754088151431896i</v>
      </c>
      <c r="AY222" s="87" t="str">
        <f t="shared" si="71"/>
        <v>0.281095646489897+0.505403199924961i</v>
      </c>
      <c r="AZ222" s="87">
        <f t="shared" si="72"/>
        <v>44.600000000000094</v>
      </c>
      <c r="BA222" s="87">
        <f t="shared" si="73"/>
        <v>0.5783140643024024</v>
      </c>
    </row>
    <row r="223" spans="41:53" x14ac:dyDescent="0.25">
      <c r="AO223" s="87">
        <f t="shared" si="74"/>
        <v>44.800000000000097</v>
      </c>
      <c r="AP223" s="126" t="str">
        <f t="shared" si="65"/>
        <v>0.0001-0.247574750830564i</v>
      </c>
      <c r="AQ223" s="105" t="str">
        <f t="shared" si="66"/>
        <v>0.000000001</v>
      </c>
      <c r="AR223" s="105" t="str">
        <f t="shared" si="67"/>
        <v>0.000192558139534884+0.862660465116281i</v>
      </c>
      <c r="AS223" s="93" t="str">
        <f t="shared" si="63"/>
        <v>2.30607627906977+0.0001i</v>
      </c>
      <c r="AU223" s="87" t="str">
        <f t="shared" si="64"/>
        <v>0.000192559139534884+0.862660465116281i</v>
      </c>
      <c r="AV223" s="87" t="str">
        <f t="shared" si="68"/>
        <v>0.000357790017487854+1.98936085475186i</v>
      </c>
      <c r="AW223" s="87" t="str">
        <f t="shared" si="69"/>
        <v>2.3062688382093+0.862760465116281i</v>
      </c>
      <c r="AX223" s="87" t="str">
        <f t="shared" si="70"/>
        <v>0.283209875009027+0.756641438479681i</v>
      </c>
      <c r="AY223" s="87" t="str">
        <f t="shared" si="71"/>
        <v>0.283309875009027+0.509066687649117i</v>
      </c>
      <c r="AZ223" s="87">
        <f t="shared" si="72"/>
        <v>44.800000000000097</v>
      </c>
      <c r="BA223" s="87">
        <f t="shared" si="73"/>
        <v>0.58259194789464264</v>
      </c>
    </row>
    <row r="224" spans="41:53" x14ac:dyDescent="0.25">
      <c r="AO224" s="87">
        <f t="shared" si="74"/>
        <v>45.000000000000099</v>
      </c>
      <c r="AP224" s="126" t="str">
        <f t="shared" si="65"/>
        <v>0.0001-0.246474418604651i</v>
      </c>
      <c r="AQ224" s="105" t="str">
        <f t="shared" si="66"/>
        <v>0.000000001</v>
      </c>
      <c r="AR224" s="105" t="str">
        <f t="shared" si="67"/>
        <v>0.000192558139534884+0.866511627906979i</v>
      </c>
      <c r="AS224" s="93" t="str">
        <f t="shared" si="63"/>
        <v>2.30607627906977+0.0001i</v>
      </c>
      <c r="AU224" s="87" t="str">
        <f t="shared" si="64"/>
        <v>0.000192559139534884+0.866511627906979i</v>
      </c>
      <c r="AV224" s="87" t="str">
        <f t="shared" si="68"/>
        <v>0.000357404901208784+1.99824192991033i</v>
      </c>
      <c r="AW224" s="87" t="str">
        <f t="shared" si="69"/>
        <v>2.3062688382093+0.866611627906979i</v>
      </c>
      <c r="AX224" s="87" t="str">
        <f t="shared" si="70"/>
        <v>0.285429140825006+0.759185437759873i</v>
      </c>
      <c r="AY224" s="87" t="str">
        <f t="shared" si="71"/>
        <v>0.285529140825006+0.512711019155222i</v>
      </c>
      <c r="AZ224" s="87">
        <f t="shared" si="72"/>
        <v>45.000000000000099</v>
      </c>
      <c r="BA224" s="87">
        <f t="shared" si="73"/>
        <v>0.58685558651464886</v>
      </c>
    </row>
    <row r="225" spans="41:53" x14ac:dyDescent="0.25">
      <c r="AO225" s="87">
        <f t="shared" si="74"/>
        <v>45.200000000000102</v>
      </c>
      <c r="AP225" s="126" t="str">
        <f t="shared" si="65"/>
        <v>0.0001-0.245383823832064i</v>
      </c>
      <c r="AQ225" s="105" t="str">
        <f t="shared" si="66"/>
        <v>0.000000001</v>
      </c>
      <c r="AR225" s="105" t="str">
        <f t="shared" si="67"/>
        <v>0.000192558139534884+0.870362790697677i</v>
      </c>
      <c r="AS225" s="93" t="str">
        <f t="shared" si="63"/>
        <v>2.30607627906977+0.0001i</v>
      </c>
      <c r="AU225" s="87" t="str">
        <f t="shared" si="64"/>
        <v>0.000192559139534884+0.870362790697677i</v>
      </c>
      <c r="AV225" s="87" t="str">
        <f t="shared" si="68"/>
        <v>0.000357019784929714+2.00712300506879i</v>
      </c>
      <c r="AW225" s="87" t="str">
        <f t="shared" si="69"/>
        <v>2.3062688382093+0.870462790697677i</v>
      </c>
      <c r="AX225" s="87" t="str">
        <f t="shared" si="70"/>
        <v>0.287653394874677+0.761720142555683i</v>
      </c>
      <c r="AY225" s="87" t="str">
        <f t="shared" si="71"/>
        <v>0.287753394874677+0.516336318723619i</v>
      </c>
      <c r="AZ225" s="87">
        <f t="shared" si="72"/>
        <v>45.200000000000102</v>
      </c>
      <c r="BA225" s="87">
        <f t="shared" si="73"/>
        <v>0.5911050755110806</v>
      </c>
    </row>
    <row r="226" spans="41:53" x14ac:dyDescent="0.25">
      <c r="AO226" s="87">
        <f t="shared" si="74"/>
        <v>45.400000000000105</v>
      </c>
      <c r="AP226" s="126" t="str">
        <f t="shared" si="65"/>
        <v>0.0001-0.244302837823993i</v>
      </c>
      <c r="AQ226" s="105" t="str">
        <f t="shared" si="66"/>
        <v>0.000000001</v>
      </c>
      <c r="AR226" s="105" t="str">
        <f t="shared" si="67"/>
        <v>0.000192558139534884+0.874213953488374i</v>
      </c>
      <c r="AS226" s="93" t="str">
        <f t="shared" si="63"/>
        <v>2.30607627906977+0.0001i</v>
      </c>
      <c r="AU226" s="87" t="str">
        <f t="shared" si="64"/>
        <v>0.000192559139534884+0.874213953488374i</v>
      </c>
      <c r="AV226" s="87" t="str">
        <f t="shared" si="68"/>
        <v>0.000356634668650645+2.01600408022726i</v>
      </c>
      <c r="AW226" s="87" t="str">
        <f t="shared" si="69"/>
        <v>2.3062688382093+0.874313953488374i</v>
      </c>
      <c r="AX226" s="87" t="str">
        <f t="shared" si="70"/>
        <v>0.289882588164289+0.764245546451745i</v>
      </c>
      <c r="AY226" s="87" t="str">
        <f t="shared" si="71"/>
        <v>0.289982588164289+0.519942708627752i</v>
      </c>
      <c r="AZ226" s="87">
        <f t="shared" si="72"/>
        <v>45.400000000000105</v>
      </c>
      <c r="BA226" s="87">
        <f t="shared" si="73"/>
        <v>0.59534050903127966</v>
      </c>
    </row>
    <row r="227" spans="41:53" x14ac:dyDescent="0.25">
      <c r="AO227" s="87">
        <f t="shared" si="74"/>
        <v>45.600000000000108</v>
      </c>
      <c r="AP227" s="126" t="str">
        <f t="shared" si="65"/>
        <v>0.0001-0.243231334149326i</v>
      </c>
      <c r="AQ227" s="105" t="str">
        <f t="shared" si="66"/>
        <v>0.000000001</v>
      </c>
      <c r="AR227" s="105" t="str">
        <f t="shared" si="67"/>
        <v>0.000192558139534884+0.878065116279072i</v>
      </c>
      <c r="AS227" s="93" t="str">
        <f t="shared" si="63"/>
        <v>2.30607627906977+0.0001i</v>
      </c>
      <c r="AU227" s="87" t="str">
        <f t="shared" si="64"/>
        <v>0.000192559139534884+0.878065116279072i</v>
      </c>
      <c r="AV227" s="87" t="str">
        <f t="shared" si="68"/>
        <v>0.000356249552371575+2.02488515538572i</v>
      </c>
      <c r="AW227" s="87" t="str">
        <f t="shared" si="69"/>
        <v>2.3062688382093+0.878165116279072i</v>
      </c>
      <c r="AX227" s="87" t="str">
        <f t="shared" si="70"/>
        <v>0.292116671771489+0.766761643332741i</v>
      </c>
      <c r="AY227" s="87" t="str">
        <f t="shared" si="71"/>
        <v>0.292216671771489+0.523530309183415i</v>
      </c>
      <c r="AZ227" s="87">
        <f t="shared" si="72"/>
        <v>45.600000000000108</v>
      </c>
      <c r="BA227" s="87">
        <f t="shared" si="73"/>
        <v>0.5995619800278269</v>
      </c>
    </row>
    <row r="228" spans="41:53" x14ac:dyDescent="0.25">
      <c r="AO228" s="87">
        <f t="shared" si="74"/>
        <v>45.800000000000111</v>
      </c>
      <c r="AP228" s="126" t="str">
        <f t="shared" si="65"/>
        <v>0.0001-0.242169188585355i</v>
      </c>
      <c r="AQ228" s="105" t="str">
        <f t="shared" si="66"/>
        <v>0.000000001</v>
      </c>
      <c r="AR228" s="105" t="str">
        <f t="shared" si="67"/>
        <v>0.000192558139534884+0.88191627906977i</v>
      </c>
      <c r="AS228" s="93" t="str">
        <f t="shared" si="63"/>
        <v>2.30607627906977+0.0001i</v>
      </c>
      <c r="AU228" s="87" t="str">
        <f t="shared" si="64"/>
        <v>0.000192559139534884+0.88191627906977i</v>
      </c>
      <c r="AV228" s="87" t="str">
        <f t="shared" si="68"/>
        <v>0.000355864436092505+2.03376623054419i</v>
      </c>
      <c r="AW228" s="87" t="str">
        <f t="shared" si="69"/>
        <v>2.3062688382093+0.88201627906977i</v>
      </c>
      <c r="AX228" s="87" t="str">
        <f t="shared" si="70"/>
        <v>0.294355596847324+0.769268427382074i</v>
      </c>
      <c r="AY228" s="87" t="str">
        <f t="shared" si="71"/>
        <v>0.294455596847324+0.527099238796719i</v>
      </c>
      <c r="AZ228" s="87">
        <f t="shared" si="72"/>
        <v>45.800000000000111</v>
      </c>
      <c r="BA228" s="87">
        <f t="shared" si="73"/>
        <v>0.60376958026617611</v>
      </c>
    </row>
    <row r="229" spans="41:53" x14ac:dyDescent="0.25">
      <c r="AO229" s="87">
        <f t="shared" si="74"/>
        <v>46.000000000000114</v>
      </c>
      <c r="AP229" s="126" t="str">
        <f t="shared" si="65"/>
        <v>0.0001-0.241116279069767i</v>
      </c>
      <c r="AQ229" s="105" t="str">
        <f t="shared" si="66"/>
        <v>0.000000001</v>
      </c>
      <c r="AR229" s="105" t="str">
        <f t="shared" si="67"/>
        <v>0.000192558139534884+0.885767441860467i</v>
      </c>
      <c r="AS229" s="93" t="str">
        <f t="shared" si="63"/>
        <v>2.30607627906977+0.0001i</v>
      </c>
      <c r="AU229" s="87" t="str">
        <f t="shared" si="64"/>
        <v>0.000192559139534884+0.885767441860467i</v>
      </c>
      <c r="AV229" s="87" t="str">
        <f t="shared" si="68"/>
        <v>0.000355479319813435+2.04264730570265i</v>
      </c>
      <c r="AW229" s="87" t="str">
        <f t="shared" si="69"/>
        <v>2.3062688382093+0.885867441860467i</v>
      </c>
      <c r="AX229" s="87" t="str">
        <f t="shared" si="70"/>
        <v>0.296599314618191+0.771765893080473i</v>
      </c>
      <c r="AY229" s="87" t="str">
        <f t="shared" si="71"/>
        <v>0.296699314618191+0.530649614010706i</v>
      </c>
      <c r="AZ229" s="87">
        <f t="shared" si="72"/>
        <v>46.000000000000114</v>
      </c>
      <c r="BA229" s="87">
        <f t="shared" si="73"/>
        <v>0.60796340033312501</v>
      </c>
    </row>
    <row r="230" spans="41:53" x14ac:dyDescent="0.25">
      <c r="AO230" s="87">
        <f t="shared" si="74"/>
        <v>46.200000000000117</v>
      </c>
      <c r="AP230" s="126" t="str">
        <f t="shared" si="65"/>
        <v>0.0001-0.24007248565388i</v>
      </c>
      <c r="AQ230" s="105" t="str">
        <f t="shared" si="66"/>
        <v>0.000000001</v>
      </c>
      <c r="AR230" s="105" t="str">
        <f t="shared" si="67"/>
        <v>0.000192558139534884+0.889618604651165i</v>
      </c>
      <c r="AS230" s="93" t="str">
        <f t="shared" si="63"/>
        <v>2.30607627906977+0.0001i</v>
      </c>
      <c r="AU230" s="87" t="str">
        <f t="shared" si="64"/>
        <v>0.000192559139534884+0.889618604651165i</v>
      </c>
      <c r="AV230" s="87" t="str">
        <f t="shared" si="68"/>
        <v>0.000355094203534365+2.05152838086111i</v>
      </c>
      <c r="AW230" s="87" t="str">
        <f t="shared" si="69"/>
        <v>2.3062688382093+0.889718604651165i</v>
      </c>
      <c r="AX230" s="87" t="str">
        <f t="shared" si="70"/>
        <v>0.298847776387804+0.774254035204632i</v>
      </c>
      <c r="AY230" s="87" t="str">
        <f t="shared" si="71"/>
        <v>0.298947776387804+0.534181549550752i</v>
      </c>
      <c r="AZ230" s="87">
        <f t="shared" si="72"/>
        <v>46.200000000000117</v>
      </c>
      <c r="BA230" s="87">
        <f t="shared" si="73"/>
        <v>0.61214352964615659</v>
      </c>
    </row>
    <row r="231" spans="41:53" x14ac:dyDescent="0.25">
      <c r="AO231" s="87">
        <f t="shared" si="74"/>
        <v>46.400000000000119</v>
      </c>
      <c r="AP231" s="126" t="str">
        <f t="shared" si="65"/>
        <v>0.0001-0.239037690457096i</v>
      </c>
      <c r="AQ231" s="105" t="str">
        <f t="shared" si="66"/>
        <v>0.000000001</v>
      </c>
      <c r="AR231" s="105" t="str">
        <f t="shared" si="67"/>
        <v>0.000192558139534884+0.893469767441863i</v>
      </c>
      <c r="AS231" s="93" t="str">
        <f t="shared" si="63"/>
        <v>2.30607627906977+0.0001i</v>
      </c>
      <c r="AU231" s="87" t="str">
        <f t="shared" si="64"/>
        <v>0.000192559139534884+0.893469767441863i</v>
      </c>
      <c r="AV231" s="87" t="str">
        <f t="shared" si="68"/>
        <v>0.000354709087255296+2.06040945601958i</v>
      </c>
      <c r="AW231" s="87" t="str">
        <f t="shared" si="69"/>
        <v>2.3062688382093+0.893569767441863i</v>
      </c>
      <c r="AX231" s="87" t="str">
        <f t="shared" si="70"/>
        <v>0.301100933539115+0.776732848825812i</v>
      </c>
      <c r="AY231" s="87" t="str">
        <f t="shared" si="71"/>
        <v>0.301200933539115+0.537695158368716i</v>
      </c>
      <c r="AZ231" s="87">
        <f t="shared" si="72"/>
        <v>46.400000000000119</v>
      </c>
      <c r="BA231" s="87">
        <f t="shared" si="73"/>
        <v>0.61631005646345971</v>
      </c>
    </row>
    <row r="232" spans="41:53" x14ac:dyDescent="0.25">
      <c r="AO232" s="87">
        <f t="shared" si="74"/>
        <v>46.600000000000122</v>
      </c>
      <c r="AP232" s="126" t="str">
        <f t="shared" si="65"/>
        <v>0.0001-0.238011777622517i</v>
      </c>
      <c r="AQ232" s="105" t="str">
        <f t="shared" si="66"/>
        <v>0.000000001</v>
      </c>
      <c r="AR232" s="105" t="str">
        <f t="shared" si="67"/>
        <v>0.000192558139534884+0.897320930232561i</v>
      </c>
      <c r="AS232" s="93" t="str">
        <f t="shared" si="63"/>
        <v>2.30607627906977+0.0001i</v>
      </c>
      <c r="AU232" s="87" t="str">
        <f t="shared" si="64"/>
        <v>0.000192559139534884+0.897320930232561i</v>
      </c>
      <c r="AV232" s="87" t="str">
        <f t="shared" si="68"/>
        <v>0.000354323970976226+2.06929053117804i</v>
      </c>
      <c r="AW232" s="87" t="str">
        <f t="shared" si="69"/>
        <v>2.3062688382093+0.897420930232561i</v>
      </c>
      <c r="AX232" s="87" t="str">
        <f t="shared" si="70"/>
        <v>0.303358737536227+0.779202329308417i</v>
      </c>
      <c r="AY232" s="87" t="str">
        <f t="shared" si="71"/>
        <v>0.303458737536227+0.5411905516859i</v>
      </c>
      <c r="AZ232" s="87">
        <f t="shared" si="72"/>
        <v>46.600000000000122</v>
      </c>
      <c r="BA232" s="87">
        <f t="shared" si="73"/>
        <v>0.62046306789459238</v>
      </c>
    </row>
    <row r="233" spans="41:53" x14ac:dyDescent="0.25">
      <c r="AO233" s="87">
        <f t="shared" si="74"/>
        <v>46.800000000000125</v>
      </c>
      <c r="AP233" s="126" t="str">
        <f t="shared" si="65"/>
        <v>0.0001-0.236994633273702i</v>
      </c>
      <c r="AQ233" s="105" t="str">
        <f t="shared" si="66"/>
        <v>0.000000001</v>
      </c>
      <c r="AR233" s="105" t="str">
        <f t="shared" si="67"/>
        <v>0.000192558139534884+0.901172093023258i</v>
      </c>
      <c r="AS233" s="93" t="str">
        <f t="shared" si="63"/>
        <v>2.30607627906977+0.0001i</v>
      </c>
      <c r="AU233" s="87" t="str">
        <f t="shared" si="64"/>
        <v>0.000192559139534884+0.901172093023258i</v>
      </c>
      <c r="AV233" s="87" t="str">
        <f t="shared" si="68"/>
        <v>0.000353938854697156+2.07817160633651i</v>
      </c>
      <c r="AW233" s="87" t="str">
        <f t="shared" si="69"/>
        <v>2.3062688382093+0.901272093023258i</v>
      </c>
      <c r="AX233" s="87" t="str">
        <f t="shared" si="70"/>
        <v>0.305621139926292+0.78166247230861i</v>
      </c>
      <c r="AY233" s="87" t="str">
        <f t="shared" si="71"/>
        <v>0.305721139926292+0.544667839034908i</v>
      </c>
      <c r="AZ233" s="87">
        <f t="shared" si="72"/>
        <v>46.800000000000125</v>
      </c>
      <c r="BA233" s="87">
        <f t="shared" si="73"/>
        <v>0.62460264991175618</v>
      </c>
    </row>
    <row r="234" spans="41:53" x14ac:dyDescent="0.25">
      <c r="AO234" s="87">
        <f t="shared" si="74"/>
        <v>47.000000000000128</v>
      </c>
      <c r="AP234" s="126" t="str">
        <f t="shared" si="65"/>
        <v>0.0001-0.235986145472538i</v>
      </c>
      <c r="AQ234" s="105" t="str">
        <f t="shared" si="66"/>
        <v>0.000000001</v>
      </c>
      <c r="AR234" s="105" t="str">
        <f t="shared" si="67"/>
        <v>0.000192558139534884+0.905023255813956i</v>
      </c>
      <c r="AS234" s="93" t="str">
        <f t="shared" si="63"/>
        <v>2.30607627906977+0.0001i</v>
      </c>
      <c r="AU234" s="87" t="str">
        <f t="shared" si="64"/>
        <v>0.000192559139534884+0.905023255813956i</v>
      </c>
      <c r="AV234" s="87" t="str">
        <f t="shared" si="68"/>
        <v>0.000353553738418086+2.08705268149497i</v>
      </c>
      <c r="AW234" s="87" t="str">
        <f t="shared" si="69"/>
        <v>2.3062688382093+0.905123255813956i</v>
      </c>
      <c r="AX234" s="87" t="str">
        <f t="shared" si="70"/>
        <v>0.307888092341382+0.784113273772845i</v>
      </c>
      <c r="AY234" s="87" t="str">
        <f t="shared" si="71"/>
        <v>0.307988092341382+0.548127128300307i</v>
      </c>
      <c r="AZ234" s="87">
        <f t="shared" si="72"/>
        <v>47.000000000000128</v>
      </c>
      <c r="BA234" s="87">
        <f t="shared" si="73"/>
        <v>0.62872888736149612</v>
      </c>
    </row>
    <row r="235" spans="41:53" x14ac:dyDescent="0.25">
      <c r="AO235" s="87">
        <f t="shared" si="74"/>
        <v>47.200000000000131</v>
      </c>
      <c r="AP235" s="126" t="str">
        <f t="shared" si="65"/>
        <v>0.0001-0.234986204178163i</v>
      </c>
      <c r="AQ235" s="105" t="str">
        <f t="shared" si="66"/>
        <v>0.000000001</v>
      </c>
      <c r="AR235" s="105" t="str">
        <f t="shared" si="67"/>
        <v>0.000192558139534884+0.908874418604654i</v>
      </c>
      <c r="AS235" s="93" t="str">
        <f t="shared" si="63"/>
        <v>2.30607627906977+0.0001i</v>
      </c>
      <c r="AU235" s="87" t="str">
        <f t="shared" si="64"/>
        <v>0.000192559139534884+0.908874418604654i</v>
      </c>
      <c r="AV235" s="87" t="str">
        <f t="shared" si="68"/>
        <v>0.000353168622139017+2.09593375665343i</v>
      </c>
      <c r="AW235" s="87" t="str">
        <f t="shared" si="69"/>
        <v>2.3062688382093+0.908974418604654i</v>
      </c>
      <c r="AX235" s="87" t="str">
        <f t="shared" si="70"/>
        <v>0.310159546500346+0.786554729936463i</v>
      </c>
      <c r="AY235" s="87" t="str">
        <f t="shared" si="71"/>
        <v>0.310259546500346+0.5515685257583i</v>
      </c>
      <c r="AZ235" s="87">
        <f t="shared" si="72"/>
        <v>47.200000000000131</v>
      </c>
      <c r="BA235" s="87">
        <f t="shared" si="73"/>
        <v>0.63284186397692166</v>
      </c>
    </row>
    <row r="236" spans="41:53" x14ac:dyDescent="0.25">
      <c r="AO236" s="87">
        <f t="shared" si="74"/>
        <v>47.400000000000134</v>
      </c>
      <c r="AP236" s="126" t="str">
        <f t="shared" si="65"/>
        <v>0.0001-0.233994701206947i</v>
      </c>
      <c r="AQ236" s="105" t="str">
        <f t="shared" si="66"/>
        <v>0.000000001</v>
      </c>
      <c r="AR236" s="105" t="str">
        <f t="shared" si="67"/>
        <v>0.000192558139534884+0.912725581395352i</v>
      </c>
      <c r="AS236" s="93" t="str">
        <f t="shared" ref="AS236:AS249" si="75">COMPLEX($D$17,0.0001)</f>
        <v>2.30607627906977+0.0001i</v>
      </c>
      <c r="AU236" s="87" t="str">
        <f t="shared" si="64"/>
        <v>0.000192559139534884+0.912725581395352i</v>
      </c>
      <c r="AV236" s="87" t="str">
        <f t="shared" si="68"/>
        <v>0.000352783505859947+2.1048148318119i</v>
      </c>
      <c r="AW236" s="87" t="str">
        <f t="shared" si="69"/>
        <v>2.3062688382093+0.912825581395352i</v>
      </c>
      <c r="AX236" s="87" t="str">
        <f t="shared" si="70"/>
        <v>0.312435454210651+0.788986837322218i</v>
      </c>
      <c r="AY236" s="87" t="str">
        <f t="shared" si="71"/>
        <v>0.312535454210651+0.554992136115271i</v>
      </c>
      <c r="AZ236" s="87">
        <f t="shared" si="72"/>
        <v>47.400000000000134</v>
      </c>
      <c r="BA236" s="87">
        <f t="shared" si="73"/>
        <v>0.63694166239024541</v>
      </c>
    </row>
    <row r="237" spans="41:53" x14ac:dyDescent="0.25">
      <c r="AO237" s="87">
        <f t="shared" si="74"/>
        <v>47.600000000000136</v>
      </c>
      <c r="AP237" s="126" t="str">
        <f t="shared" si="65"/>
        <v>0.0001-0.233011530193472i</v>
      </c>
      <c r="AQ237" s="105" t="str">
        <f t="shared" si="66"/>
        <v>0.000000001</v>
      </c>
      <c r="AR237" s="105" t="str">
        <f t="shared" si="67"/>
        <v>0.000192558139534884+0.916576744186049i</v>
      </c>
      <c r="AS237" s="93" t="str">
        <f t="shared" si="75"/>
        <v>2.30607627906977+0.0001i</v>
      </c>
      <c r="AU237" s="87" t="str">
        <f t="shared" si="64"/>
        <v>0.000192559139534884+0.916576744186049i</v>
      </c>
      <c r="AV237" s="87" t="str">
        <f t="shared" si="68"/>
        <v>0.000352398389580877+2.11369590697036i</v>
      </c>
      <c r="AW237" s="87" t="str">
        <f t="shared" si="69"/>
        <v>2.3062688382093+0.916676744186049i</v>
      </c>
      <c r="AX237" s="87" t="str">
        <f t="shared" si="70"/>
        <v>0.314715767370193+0.791409592738813i</v>
      </c>
      <c r="AY237" s="87" t="str">
        <f t="shared" si="71"/>
        <v>0.314815767370193+0.558398062545341i</v>
      </c>
      <c r="AZ237" s="87">
        <f t="shared" si="72"/>
        <v>47.600000000000136</v>
      </c>
      <c r="BA237" s="87">
        <f t="shared" si="73"/>
        <v>0.64102836414567022</v>
      </c>
    </row>
    <row r="238" spans="41:53" x14ac:dyDescent="0.25">
      <c r="AO238" s="87">
        <f t="shared" si="74"/>
        <v>47.800000000000139</v>
      </c>
      <c r="AP238" s="126" t="str">
        <f t="shared" si="65"/>
        <v>0.0001-0.232036586552495i</v>
      </c>
      <c r="AQ238" s="105" t="str">
        <f t="shared" si="66"/>
        <v>0.000000001</v>
      </c>
      <c r="AR238" s="105" t="str">
        <f t="shared" si="67"/>
        <v>0.000192558139534884+0.920427906976747i</v>
      </c>
      <c r="AS238" s="93" t="str">
        <f t="shared" si="75"/>
        <v>2.30607627906977+0.0001i</v>
      </c>
      <c r="AU238" s="87" t="str">
        <f t="shared" si="64"/>
        <v>0.000192559139534884+0.920427906976747i</v>
      </c>
      <c r="AV238" s="87" t="str">
        <f t="shared" si="68"/>
        <v>0.000352013273301807+2.12257698212883i</v>
      </c>
      <c r="AW238" s="87" t="str">
        <f t="shared" si="69"/>
        <v>2.3062688382093+0.920527906976747i</v>
      </c>
      <c r="AX238" s="87" t="str">
        <f t="shared" si="70"/>
        <v>0.317000437969105+0.793822993279446i</v>
      </c>
      <c r="AY238" s="87" t="str">
        <f t="shared" si="71"/>
        <v>0.317100437969105+0.561786406726951i</v>
      </c>
      <c r="AZ238" s="87">
        <f t="shared" si="72"/>
        <v>47.800000000000139</v>
      </c>
      <c r="BA238" s="87">
        <f t="shared" si="73"/>
        <v>0.64510204971258422</v>
      </c>
    </row>
    <row r="239" spans="41:53" x14ac:dyDescent="0.25">
      <c r="AO239" s="87">
        <f t="shared" si="74"/>
        <v>48.000000000000142</v>
      </c>
      <c r="AP239" s="126" t="str">
        <f t="shared" si="65"/>
        <v>0.0001-0.23106976744186i</v>
      </c>
      <c r="AQ239" s="105" t="str">
        <f t="shared" si="66"/>
        <v>0.000000001</v>
      </c>
      <c r="AR239" s="105" t="str">
        <f t="shared" si="67"/>
        <v>0.000192558139534884+0.924279069767445i</v>
      </c>
      <c r="AS239" s="93" t="str">
        <f t="shared" si="75"/>
        <v>2.30607627906977+0.0001i</v>
      </c>
      <c r="AU239" s="87" t="str">
        <f t="shared" si="64"/>
        <v>0.000192559139534884+0.924279069767445i</v>
      </c>
      <c r="AV239" s="87" t="str">
        <f t="shared" si="68"/>
        <v>0.000351628157022737+2.13145805728729i</v>
      </c>
      <c r="AW239" s="87" t="str">
        <f t="shared" si="69"/>
        <v>2.3062688382093+0.924379069767445i</v>
      </c>
      <c r="AX239" s="87" t="str">
        <f t="shared" si="70"/>
        <v>0.319289418091528+0.796227036320301i</v>
      </c>
      <c r="AY239" s="87" t="str">
        <f t="shared" si="71"/>
        <v>0.319389418091528+0.565157268878441i</v>
      </c>
      <c r="AZ239" s="87">
        <f t="shared" si="72"/>
        <v>48.000000000000142</v>
      </c>
      <c r="BA239" s="87">
        <f t="shared" si="73"/>
        <v>0.64916279849894609</v>
      </c>
    </row>
    <row r="240" spans="41:53" x14ac:dyDescent="0.25">
      <c r="AO240" s="87">
        <f t="shared" si="74"/>
        <v>48.200000000000145</v>
      </c>
      <c r="AP240" s="126" t="str">
        <f t="shared" si="65"/>
        <v>0.0001-0.230110971726333i</v>
      </c>
      <c r="AQ240" s="105" t="str">
        <f t="shared" si="66"/>
        <v>0.000000001</v>
      </c>
      <c r="AR240" s="105" t="str">
        <f t="shared" si="67"/>
        <v>0.000192558139534884+0.928130232558142i</v>
      </c>
      <c r="AS240" s="93" t="str">
        <f t="shared" si="75"/>
        <v>2.30607627906977+0.0001i</v>
      </c>
      <c r="AU240" s="87" t="str">
        <f t="shared" si="64"/>
        <v>0.000192559139534884+0.928130232558142i</v>
      </c>
      <c r="AV240" s="87" t="str">
        <f t="shared" si="68"/>
        <v>0.000351243040743668+2.14033913244575i</v>
      </c>
      <c r="AW240" s="87" t="str">
        <f t="shared" si="69"/>
        <v>2.3062688382093+0.928230232558142i</v>
      </c>
      <c r="AX240" s="87" t="str">
        <f t="shared" si="70"/>
        <v>0.321582659917383+0.798621719519076i</v>
      </c>
      <c r="AY240" s="87" t="str">
        <f t="shared" si="71"/>
        <v>0.321682659917383+0.568510747792743i</v>
      </c>
      <c r="AZ240" s="87">
        <f t="shared" si="72"/>
        <v>48.200000000000145</v>
      </c>
      <c r="BA240" s="87">
        <f t="shared" si="73"/>
        <v>0.65321068886492251</v>
      </c>
    </row>
    <row r="241" spans="41:53" x14ac:dyDescent="0.25">
      <c r="AO241" s="87">
        <f t="shared" si="74"/>
        <v>48.400000000000148</v>
      </c>
      <c r="AP241" s="126" t="str">
        <f t="shared" si="65"/>
        <v>0.0001-0.22916009994234i</v>
      </c>
      <c r="AQ241" s="105" t="str">
        <f t="shared" si="66"/>
        <v>0.000000001</v>
      </c>
      <c r="AR241" s="105" t="str">
        <f t="shared" si="67"/>
        <v>0.000192558139534884+0.93198139534884i</v>
      </c>
      <c r="AS241" s="93" t="str">
        <f t="shared" si="75"/>
        <v>2.30607627906977+0.0001i</v>
      </c>
      <c r="AU241" s="87" t="str">
        <f t="shared" si="64"/>
        <v>0.000192559139534884+0.93198139534884i</v>
      </c>
      <c r="AV241" s="87" t="str">
        <f t="shared" si="68"/>
        <v>0.000350857924464598+2.14922020760422i</v>
      </c>
      <c r="AW241" s="87" t="str">
        <f t="shared" si="69"/>
        <v>2.3062688382093+0.93208139534884i</v>
      </c>
      <c r="AX241" s="87" t="str">
        <f t="shared" si="70"/>
        <v>0.323880115724107+0.80100704081347i</v>
      </c>
      <c r="AY241" s="87" t="str">
        <f t="shared" si="71"/>
        <v>0.323980115724107+0.57184694087113i</v>
      </c>
      <c r="AZ241" s="87">
        <f t="shared" si="72"/>
        <v>48.400000000000148</v>
      </c>
      <c r="BA241" s="87">
        <f t="shared" si="73"/>
        <v>0.65724579813664497</v>
      </c>
    </row>
    <row r="242" spans="41:53" x14ac:dyDescent="0.25">
      <c r="AO242" s="87">
        <f t="shared" si="74"/>
        <v>48.600000000000151</v>
      </c>
      <c r="AP242" s="126" t="str">
        <f t="shared" si="65"/>
        <v>0.0001-0.228217054263565i</v>
      </c>
      <c r="AQ242" s="105" t="str">
        <f t="shared" si="66"/>
        <v>0.000000001</v>
      </c>
      <c r="AR242" s="105" t="str">
        <f t="shared" si="67"/>
        <v>0.000192558139534884+0.935832558139538i</v>
      </c>
      <c r="AS242" s="93" t="str">
        <f t="shared" si="75"/>
        <v>2.30607627906977+0.0001i</v>
      </c>
      <c r="AU242" s="87" t="str">
        <f t="shared" si="64"/>
        <v>0.000192559139534884+0.935832558139538i</v>
      </c>
      <c r="AV242" s="87" t="str">
        <f t="shared" si="68"/>
        <v>0.000350472808185528+2.15810128276268i</v>
      </c>
      <c r="AW242" s="87" t="str">
        <f t="shared" si="69"/>
        <v>2.3062688382093+0.935932558139538i</v>
      </c>
      <c r="AX242" s="87" t="str">
        <f t="shared" si="70"/>
        <v>0.326181737888374+0.80338299841966i</v>
      </c>
      <c r="AY242" s="87" t="str">
        <f t="shared" si="71"/>
        <v>0.326281737888374+0.575165944156095i</v>
      </c>
      <c r="AZ242" s="87">
        <f t="shared" si="72"/>
        <v>48.600000000000151</v>
      </c>
      <c r="BA242" s="87">
        <f t="shared" si="73"/>
        <v>0.66126820262010921</v>
      </c>
    </row>
    <row r="243" spans="41:53" x14ac:dyDescent="0.25">
      <c r="AO243" s="87">
        <f t="shared" si="74"/>
        <v>48.800000000000153</v>
      </c>
      <c r="AP243" s="126" t="str">
        <f t="shared" si="65"/>
        <v>0.0001-0.227281738467403i</v>
      </c>
      <c r="AQ243" s="105" t="str">
        <f t="shared" si="66"/>
        <v>0.000000001</v>
      </c>
      <c r="AR243" s="105" t="str">
        <f t="shared" si="67"/>
        <v>0.000192558139534884+0.939683720930236i</v>
      </c>
      <c r="AS243" s="93" t="str">
        <f t="shared" si="75"/>
        <v>2.30607627906977+0.0001i</v>
      </c>
      <c r="AU243" s="87" t="str">
        <f t="shared" si="64"/>
        <v>0.000192559139534884+0.939683720930236i</v>
      </c>
      <c r="AV243" s="87" t="str">
        <f t="shared" si="68"/>
        <v>0.000350087691906458+2.16698235792115i</v>
      </c>
      <c r="AW243" s="87" t="str">
        <f t="shared" si="69"/>
        <v>2.3062688382093+0.939783720930236i</v>
      </c>
      <c r="AX243" s="87" t="str">
        <f t="shared" si="70"/>
        <v>0.32848747888781+0.805749590830801i</v>
      </c>
      <c r="AY243" s="87" t="str">
        <f t="shared" si="71"/>
        <v>0.32858747888781+0.578467852363398i</v>
      </c>
      <c r="AZ243" s="87">
        <f t="shared" si="72"/>
        <v>48.800000000000153</v>
      </c>
      <c r="BA243" s="87">
        <f t="shared" si="73"/>
        <v>0.6652779776151988</v>
      </c>
    </row>
    <row r="244" spans="41:53" x14ac:dyDescent="0.25">
      <c r="AO244" s="87">
        <f t="shared" si="74"/>
        <v>49.000000000000156</v>
      </c>
      <c r="AP244" s="126" t="str">
        <f t="shared" si="65"/>
        <v>0.0001-0.22635405790223i</v>
      </c>
      <c r="AQ244" s="105" t="str">
        <f t="shared" si="66"/>
        <v>0.000000001</v>
      </c>
      <c r="AR244" s="105" t="str">
        <f t="shared" si="67"/>
        <v>0.000192558139534884+0.943534883720933i</v>
      </c>
      <c r="AS244" s="93" t="str">
        <f t="shared" si="75"/>
        <v>2.30607627906977+0.0001i</v>
      </c>
      <c r="AU244" s="87" t="str">
        <f t="shared" si="64"/>
        <v>0.000192559139534884+0.943534883720933i</v>
      </c>
      <c r="AV244" s="87" t="str">
        <f t="shared" si="68"/>
        <v>0.000349702575627389+2.17586343307961i</v>
      </c>
      <c r="AW244" s="87" t="str">
        <f t="shared" si="69"/>
        <v>2.3062688382093+0.943634883720933i</v>
      </c>
      <c r="AX244" s="87" t="str">
        <f t="shared" si="70"/>
        <v>0.330797291302666+0.808106816815465i</v>
      </c>
      <c r="AY244" s="87" t="str">
        <f t="shared" si="71"/>
        <v>0.330897291302666+0.581752758913235i</v>
      </c>
      <c r="AZ244" s="87">
        <f t="shared" si="72"/>
        <v>49.000000000000156</v>
      </c>
      <c r="BA244" s="87">
        <f t="shared" si="73"/>
        <v>0.66927519742972841</v>
      </c>
    </row>
    <row r="245" spans="41:53" x14ac:dyDescent="0.25">
      <c r="AO245" s="87">
        <f t="shared" si="74"/>
        <v>49.200000000000159</v>
      </c>
      <c r="AP245" s="126" t="str">
        <f t="shared" si="65"/>
        <v>0.0001-0.225433919455473i</v>
      </c>
      <c r="AQ245" s="105" t="str">
        <f t="shared" si="66"/>
        <v>0.000000001</v>
      </c>
      <c r="AR245" s="105" t="str">
        <f t="shared" si="67"/>
        <v>0.000192558139534884+0.947386046511631i</v>
      </c>
      <c r="AS245" s="93" t="str">
        <f t="shared" si="75"/>
        <v>2.30607627906977+0.0001i</v>
      </c>
      <c r="AU245" s="87" t="str">
        <f t="shared" si="64"/>
        <v>0.000192559139534884+0.947386046511631i</v>
      </c>
      <c r="AV245" s="87" t="str">
        <f t="shared" si="68"/>
        <v>0.000349317459348319+2.18474450823808i</v>
      </c>
      <c r="AW245" s="87" t="str">
        <f t="shared" si="69"/>
        <v>2.3062688382093+0.947486046511631i</v>
      </c>
      <c r="AX245" s="87" t="str">
        <f t="shared" si="70"/>
        <v>0.333111127817495+0.810454675416129i</v>
      </c>
      <c r="AY245" s="87" t="str">
        <f t="shared" si="71"/>
        <v>0.333211127817495+0.585020755960656i</v>
      </c>
      <c r="AZ245" s="87">
        <f t="shared" si="72"/>
        <v>49.200000000000159</v>
      </c>
      <c r="BA245" s="87">
        <f t="shared" si="73"/>
        <v>0.67325993539359252</v>
      </c>
    </row>
    <row r="246" spans="41:53" x14ac:dyDescent="0.25">
      <c r="AO246" s="87">
        <f t="shared" si="74"/>
        <v>49.400000000000162</v>
      </c>
      <c r="AP246" s="126" t="str">
        <f t="shared" si="65"/>
        <v>0.0001-0.224521231522455i</v>
      </c>
      <c r="AQ246" s="105" t="str">
        <f t="shared" si="66"/>
        <v>0.000000001</v>
      </c>
      <c r="AR246" s="105" t="str">
        <f t="shared" si="67"/>
        <v>0.000192558139534884+0.951237209302329i</v>
      </c>
      <c r="AS246" s="93" t="str">
        <f t="shared" si="75"/>
        <v>2.30607627906977+0.0001i</v>
      </c>
      <c r="AU246" s="87" t="str">
        <f t="shared" si="64"/>
        <v>0.000192559139534884+0.951237209302329i</v>
      </c>
      <c r="AV246" s="87" t="str">
        <f t="shared" si="68"/>
        <v>0.000348932343069249+2.19362558339654i</v>
      </c>
      <c r="AW246" s="87" t="str">
        <f t="shared" si="69"/>
        <v>2.3062688382093+0.951337209302329i</v>
      </c>
      <c r="AX246" s="87" t="str">
        <f t="shared" si="70"/>
        <v>0.335428941222789+0.812793165947594i</v>
      </c>
      <c r="AY246" s="87" t="str">
        <f t="shared" si="71"/>
        <v>0.335528941222789+0.588271934425139i</v>
      </c>
      <c r="AZ246" s="87">
        <f t="shared" si="72"/>
        <v>49.400000000000162</v>
      </c>
      <c r="BA246" s="87">
        <f t="shared" si="73"/>
        <v>0.67723226387287605</v>
      </c>
    </row>
    <row r="247" spans="41:53" x14ac:dyDescent="0.25">
      <c r="AO247" s="87">
        <f t="shared" si="74"/>
        <v>49.600000000000165</v>
      </c>
      <c r="AP247" s="126" t="str">
        <f t="shared" si="65"/>
        <v>0.0001-0.223615903975993i</v>
      </c>
      <c r="AQ247" s="105" t="str">
        <f t="shared" si="66"/>
        <v>0.000000001</v>
      </c>
      <c r="AR247" s="105" t="str">
        <f t="shared" si="67"/>
        <v>0.000192558139534884+0.955088372093027i</v>
      </c>
      <c r="AS247" s="93" t="str">
        <f t="shared" si="75"/>
        <v>2.30607627906977+0.0001i</v>
      </c>
      <c r="AU247" s="87" t="str">
        <f t="shared" si="64"/>
        <v>0.000192559139534884+0.955088372093027i</v>
      </c>
      <c r="AV247" s="87" t="str">
        <f t="shared" si="68"/>
        <v>0.000348547226790179+2.20250665855501i</v>
      </c>
      <c r="AW247" s="87" t="str">
        <f t="shared" si="69"/>
        <v>2.3062688382093+0.955188372093027i</v>
      </c>
      <c r="AX247" s="87" t="str">
        <f t="shared" si="70"/>
        <v>0.337750684416621+0.815122287995459i</v>
      </c>
      <c r="AY247" s="87" t="str">
        <f t="shared" si="71"/>
        <v>0.337850684416621+0.591506384019466i</v>
      </c>
      <c r="AZ247" s="87">
        <f t="shared" si="72"/>
        <v>49.600000000000165</v>
      </c>
      <c r="BA247" s="87">
        <f t="shared" si="73"/>
        <v>0.6811922542840334</v>
      </c>
    </row>
    <row r="248" spans="41:53" x14ac:dyDescent="0.25">
      <c r="AO248" s="87">
        <f t="shared" si="74"/>
        <v>49.800000000000168</v>
      </c>
      <c r="AP248" s="126" t="str">
        <f t="shared" si="65"/>
        <v>0.0001-0.222717848136732i</v>
      </c>
      <c r="AQ248" s="105" t="str">
        <f t="shared" si="66"/>
        <v>0.000000001</v>
      </c>
      <c r="AR248" s="105" t="str">
        <f t="shared" si="67"/>
        <v>0.000192558139534884+0.958939534883724i</v>
      </c>
      <c r="AS248" s="93" t="str">
        <f t="shared" si="75"/>
        <v>2.30607627906977+0.0001i</v>
      </c>
      <c r="AU248" s="87" t="str">
        <f t="shared" si="64"/>
        <v>0.000192559139534884+0.958939534883724i</v>
      </c>
      <c r="AV248" s="87" t="str">
        <f t="shared" si="68"/>
        <v>0.00034816211051111+2.21138773371347i</v>
      </c>
      <c r="AW248" s="87" t="str">
        <f t="shared" si="69"/>
        <v>2.3062688382093+0.959039534883724i</v>
      </c>
      <c r="AX248" s="87" t="str">
        <f t="shared" si="70"/>
        <v>0.340076310406235+0.817442041414519i</v>
      </c>
      <c r="AY248" s="87" t="str">
        <f t="shared" si="71"/>
        <v>0.340176310406235+0.594724193277787i</v>
      </c>
      <c r="AZ248" s="87">
        <f t="shared" si="72"/>
        <v>49.800000000000168</v>
      </c>
      <c r="BA248" s="87">
        <f t="shared" si="73"/>
        <v>0.68513997710797292</v>
      </c>
    </row>
    <row r="249" spans="41:53" x14ac:dyDescent="0.25">
      <c r="AO249" s="87">
        <f t="shared" si="74"/>
        <v>50.000000000000171</v>
      </c>
      <c r="AP249" s="126" t="str">
        <f t="shared" si="65"/>
        <v>0.0001-0.221826976744185i</v>
      </c>
      <c r="AQ249" s="105" t="str">
        <f t="shared" si="66"/>
        <v>0.000000001</v>
      </c>
      <c r="AR249" s="105" t="str">
        <f t="shared" si="67"/>
        <v>0.000192558139534884+0.962790697674422i</v>
      </c>
      <c r="AS249" s="93" t="str">
        <f t="shared" si="75"/>
        <v>2.30607627906977+0.0001i</v>
      </c>
      <c r="AU249" s="87" t="str">
        <f t="shared" si="64"/>
        <v>0.000192559139534884+0.962790697674422i</v>
      </c>
      <c r="AV249" s="87" t="str">
        <f t="shared" si="68"/>
        <v>0.00034777699423204+2.22026880887193i</v>
      </c>
      <c r="AW249" s="87" t="str">
        <f t="shared" si="69"/>
        <v>2.3062688382093+0.962890697674422i</v>
      </c>
      <c r="AX249" s="87" t="str">
        <f t="shared" si="70"/>
        <v>0.342405772309657+0.819752426327221i</v>
      </c>
      <c r="AY249" s="87" t="str">
        <f t="shared" si="71"/>
        <v>0.342505772309657+0.597925449583036i</v>
      </c>
      <c r="AZ249" s="87">
        <f t="shared" si="72"/>
        <v>50.000000000000171</v>
      </c>
      <c r="BA249" s="87">
        <f t="shared" si="73"/>
        <v>0.6890755019041892</v>
      </c>
    </row>
    <row r="250" spans="41:53" x14ac:dyDescent="0.25">
      <c r="AP250" s="126"/>
      <c r="AQ250" s="105"/>
      <c r="AR250" s="105"/>
      <c r="AS250" s="93"/>
    </row>
    <row r="251" spans="41:53" x14ac:dyDescent="0.25">
      <c r="AP251" s="126"/>
      <c r="AQ251" s="105"/>
      <c r="AR251" s="105"/>
      <c r="AS251" s="93"/>
    </row>
    <row r="252" spans="41:53" x14ac:dyDescent="0.25">
      <c r="AP252" s="126"/>
      <c r="AQ252" s="105"/>
      <c r="AR252" s="105"/>
      <c r="AS252" s="93"/>
    </row>
    <row r="253" spans="41:53" x14ac:dyDescent="0.25">
      <c r="AP253" s="126"/>
      <c r="AQ253" s="105"/>
      <c r="AR253" s="105"/>
      <c r="AS253" s="93"/>
    </row>
    <row r="254" spans="41:53" x14ac:dyDescent="0.25">
      <c r="AP254" s="126"/>
      <c r="AQ254" s="105"/>
      <c r="AR254" s="105"/>
      <c r="AS254" s="93"/>
    </row>
    <row r="255" spans="41:53" x14ac:dyDescent="0.25">
      <c r="AP255" s="126"/>
      <c r="AQ255" s="105"/>
      <c r="AR255" s="105"/>
      <c r="AS255" s="93"/>
    </row>
    <row r="256" spans="41:53" x14ac:dyDescent="0.25">
      <c r="AP256" s="126"/>
      <c r="AQ256" s="105"/>
      <c r="AR256" s="105"/>
      <c r="AS256" s="93"/>
    </row>
    <row r="257" spans="42:45" x14ac:dyDescent="0.25">
      <c r="AP257" s="126"/>
      <c r="AQ257" s="105"/>
      <c r="AR257" s="105"/>
      <c r="AS257" s="93"/>
    </row>
    <row r="258" spans="42:45" x14ac:dyDescent="0.25">
      <c r="AP258" s="126"/>
      <c r="AQ258" s="105"/>
      <c r="AR258" s="105"/>
      <c r="AS258" s="93"/>
    </row>
    <row r="259" spans="42:45" x14ac:dyDescent="0.25">
      <c r="AP259" s="126"/>
      <c r="AQ259" s="105"/>
      <c r="AR259" s="105"/>
      <c r="AS259" s="93"/>
    </row>
    <row r="260" spans="42:45" x14ac:dyDescent="0.25">
      <c r="AP260" s="126"/>
      <c r="AQ260" s="105"/>
      <c r="AR260" s="105"/>
      <c r="AS260" s="93"/>
    </row>
    <row r="261" spans="42:45" x14ac:dyDescent="0.25">
      <c r="AP261" s="126"/>
      <c r="AQ261" s="105"/>
      <c r="AR261" s="105"/>
      <c r="AS261" s="93"/>
    </row>
    <row r="262" spans="42:45" x14ac:dyDescent="0.25">
      <c r="AP262" s="126"/>
      <c r="AQ262" s="105"/>
      <c r="AR262" s="105"/>
      <c r="AS262" s="93"/>
    </row>
    <row r="263" spans="42:45" x14ac:dyDescent="0.25">
      <c r="AP263" s="126"/>
      <c r="AQ263" s="105"/>
      <c r="AR263" s="105"/>
      <c r="AS263" s="93"/>
    </row>
    <row r="264" spans="42:45" x14ac:dyDescent="0.25">
      <c r="AP264" s="126"/>
      <c r="AQ264" s="105"/>
      <c r="AR264" s="105"/>
      <c r="AS264" s="93"/>
    </row>
    <row r="265" spans="42:45" x14ac:dyDescent="0.25">
      <c r="AP265" s="126"/>
      <c r="AQ265" s="105"/>
      <c r="AR265" s="105"/>
      <c r="AS265" s="93"/>
    </row>
    <row r="266" spans="42:45" x14ac:dyDescent="0.25">
      <c r="AP266" s="126"/>
      <c r="AQ266" s="105"/>
      <c r="AR266" s="105"/>
      <c r="AS266" s="93"/>
    </row>
    <row r="267" spans="42:45" x14ac:dyDescent="0.25">
      <c r="AP267" s="126"/>
      <c r="AQ267" s="105"/>
      <c r="AR267" s="105"/>
      <c r="AS267" s="93"/>
    </row>
    <row r="268" spans="42:45" x14ac:dyDescent="0.25">
      <c r="AP268" s="126"/>
      <c r="AQ268" s="105"/>
      <c r="AR268" s="105"/>
      <c r="AS268" s="93"/>
    </row>
    <row r="269" spans="42:45" x14ac:dyDescent="0.25">
      <c r="AP269" s="126"/>
      <c r="AQ269" s="105"/>
      <c r="AR269" s="105"/>
      <c r="AS269" s="93"/>
    </row>
    <row r="270" spans="42:45" x14ac:dyDescent="0.25">
      <c r="AP270" s="126"/>
      <c r="AQ270" s="105"/>
      <c r="AR270" s="105"/>
      <c r="AS270" s="93"/>
    </row>
    <row r="271" spans="42:45" x14ac:dyDescent="0.25">
      <c r="AP271" s="126"/>
      <c r="AQ271" s="105"/>
      <c r="AR271" s="105"/>
      <c r="AS271" s="93"/>
    </row>
  </sheetData>
  <sheetProtection algorithmName="SHA-512" hashValue="pIDTPHwfENj5Eo6N7Zp6SaJb+JvwxWO5Ouk/C1v+vkAWkmddFCOesGMVX4yy2J1IXKrulLsCqzXGJkim/5cljg==" saltValue="itl6V2u59wk/oo5KPTb3xA==" spinCount="100000" sheet="1" objects="1" scenarios="1"/>
  <mergeCells count="40">
    <mergeCell ref="V42:AC42"/>
    <mergeCell ref="AA36:AB36"/>
    <mergeCell ref="AA35:AB35"/>
    <mergeCell ref="B166:L166"/>
    <mergeCell ref="V29:AC29"/>
    <mergeCell ref="X31:Y31"/>
    <mergeCell ref="X32:Y32"/>
    <mergeCell ref="X33:Y33"/>
    <mergeCell ref="X34:Y34"/>
    <mergeCell ref="AA30:AB30"/>
    <mergeCell ref="AA31:AB31"/>
    <mergeCell ref="AA32:AB32"/>
    <mergeCell ref="AA33:AB33"/>
    <mergeCell ref="X30:Y30"/>
    <mergeCell ref="D42:I42"/>
    <mergeCell ref="B105:E105"/>
    <mergeCell ref="B106:E106"/>
    <mergeCell ref="G4:L4"/>
    <mergeCell ref="B6:L6"/>
    <mergeCell ref="B28:L28"/>
    <mergeCell ref="I8:L8"/>
    <mergeCell ref="I9:L9"/>
    <mergeCell ref="H88:L89"/>
    <mergeCell ref="H90:I90"/>
    <mergeCell ref="D43:E43"/>
    <mergeCell ref="J44:K44"/>
    <mergeCell ref="J45:K45"/>
    <mergeCell ref="J46:K46"/>
    <mergeCell ref="I43:K43"/>
    <mergeCell ref="K90:L90"/>
    <mergeCell ref="N1:P2"/>
    <mergeCell ref="N3:P3"/>
    <mergeCell ref="X15:Y15"/>
    <mergeCell ref="AA15:AB15"/>
    <mergeCell ref="V10:AC10"/>
    <mergeCell ref="X12:Y12"/>
    <mergeCell ref="X13:Y13"/>
    <mergeCell ref="AA13:AB13"/>
    <mergeCell ref="X14:Y14"/>
    <mergeCell ref="AA14:AB14"/>
  </mergeCells>
  <conditionalFormatting sqref="D45">
    <cfRule type="cellIs" dxfId="58" priority="15" operator="greaterThan">
      <formula>"e44"</formula>
    </cfRule>
  </conditionalFormatting>
  <conditionalFormatting sqref="D46">
    <cfRule type="cellIs" dxfId="57" priority="14" operator="greaterThan">
      <formula>"e45"</formula>
    </cfRule>
  </conditionalFormatting>
  <conditionalFormatting sqref="J45">
    <cfRule type="cellIs" dxfId="56" priority="13" operator="greaterThan">
      <formula>"i44"</formula>
    </cfRule>
  </conditionalFormatting>
  <conditionalFormatting sqref="J46">
    <cfRule type="cellIs" dxfId="55" priority="12" operator="greaterThan">
      <formula>"i45"</formula>
    </cfRule>
  </conditionalFormatting>
  <conditionalFormatting sqref="D45:E45">
    <cfRule type="cellIs" dxfId="54" priority="3" operator="greaterThan">
      <formula>$F$45</formula>
    </cfRule>
    <cfRule type="cellIs" dxfId="53" priority="7" operator="lessThan">
      <formula>"89.0%$F$45"</formula>
    </cfRule>
    <cfRule type="cellIs" dxfId="52" priority="11" operator="greaterThan">
      <formula>$F$45</formula>
    </cfRule>
  </conditionalFormatting>
  <conditionalFormatting sqref="D46:E46">
    <cfRule type="cellIs" dxfId="51" priority="2" operator="greaterThan">
      <formula>$F$46</formula>
    </cfRule>
    <cfRule type="cellIs" dxfId="50" priority="6" operator="lessThan">
      <formula>"92.9%$F$46"</formula>
    </cfRule>
    <cfRule type="cellIs" dxfId="49" priority="10" operator="greaterThan">
      <formula>$F$46</formula>
    </cfRule>
  </conditionalFormatting>
  <conditionalFormatting sqref="I45:K45">
    <cfRule type="cellIs" dxfId="48" priority="1" operator="greaterThan">
      <formula>$L$45</formula>
    </cfRule>
    <cfRule type="cellIs" dxfId="47" priority="5" operator="lessThan">
      <formula>"90.3%$L$45"</formula>
    </cfRule>
    <cfRule type="cellIs" dxfId="46" priority="9" operator="greaterThan">
      <formula>$L$45</formula>
    </cfRule>
  </conditionalFormatting>
  <conditionalFormatting sqref="I46:K46">
    <cfRule type="cellIs" dxfId="45" priority="4" operator="lessThan">
      <formula>$L$46</formula>
    </cfRule>
    <cfRule type="cellIs" dxfId="44" priority="8" operator="greaterThan">
      <formula>$L$46</formula>
    </cfRule>
  </conditionalFormatting>
  <dataValidations disablePrompts="1" count="1">
    <dataValidation type="list" allowBlank="1" showInputMessage="1" showErrorMessage="1" sqref="D42" xr:uid="{00000000-0002-0000-0100-000000000000}">
      <formula1>capacitordutyrating</formula1>
    </dataValidation>
  </dataValidations>
  <hyperlinks>
    <hyperlink ref="N1:P2" r:id="rId1" display="https://youtu.be/sV6w9_-4ZJw" xr:uid="{1BC5E0E1-4953-4CFA-B6B9-62488D87CBB2}"/>
  </hyperlinks>
  <pageMargins left="0.7" right="0.7" top="0.205416666666667" bottom="0.45333333333333298" header="0.3" footer="0.3"/>
  <pageSetup scale="56" fitToHeight="2" orientation="portrait" r:id="rId2"/>
  <headerFooter>
    <oddHeader xml:space="preserve">&amp;L
&amp;R       </oddHeader>
  </headerFooter>
  <rowBreaks count="2" manualBreakCount="2">
    <brk id="59" min="1" max="11" man="1"/>
    <brk id="134" min="1" max="11" man="1"/>
  </rowBreak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5" name="Scroll Bar 1">
              <controlPr locked="0" defaultSize="0" autoPict="0">
                <anchor moveWithCells="1">
                  <from>
                    <xdr:col>5</xdr:col>
                    <xdr:colOff>19050</xdr:colOff>
                    <xdr:row>9</xdr:row>
                    <xdr:rowOff>57150</xdr:rowOff>
                  </from>
                  <to>
                    <xdr:col>11</xdr:col>
                    <xdr:colOff>1828800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6" name="Scroll Bar 2">
              <controlPr locked="0" defaultSize="0" autoPict="0">
                <anchor moveWithCells="1">
                  <from>
                    <xdr:col>4</xdr:col>
                    <xdr:colOff>161925</xdr:colOff>
                    <xdr:row>15</xdr:row>
                    <xdr:rowOff>0</xdr:rowOff>
                  </from>
                  <to>
                    <xdr:col>10</xdr:col>
                    <xdr:colOff>1047750</xdr:colOff>
                    <xdr:row>15</xdr:row>
                    <xdr:rowOff>200025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R272"/>
  <sheetViews>
    <sheetView zoomScaleNormal="100" workbookViewId="0">
      <selection activeCell="B1" sqref="B1"/>
    </sheetView>
  </sheetViews>
  <sheetFormatPr defaultRowHeight="15" outlineLevelRow="1" x14ac:dyDescent="0.25"/>
  <cols>
    <col min="1" max="1" width="2.42578125" customWidth="1"/>
    <col min="2" max="2" width="42.42578125" customWidth="1"/>
    <col min="3" max="3" width="1.5703125" customWidth="1"/>
    <col min="4" max="4" width="10.5703125" customWidth="1"/>
    <col min="5" max="5" width="12.42578125" customWidth="1"/>
    <col min="6" max="6" width="11" bestFit="1" customWidth="1"/>
    <col min="7" max="10" width="9.28515625" bestFit="1" customWidth="1"/>
    <col min="11" max="11" width="16.85546875" customWidth="1"/>
    <col min="12" max="12" width="29.7109375" customWidth="1"/>
    <col min="14" max="14" width="25.85546875" customWidth="1"/>
    <col min="15" max="15" width="38.85546875" customWidth="1"/>
    <col min="16" max="16" width="45.85546875" customWidth="1"/>
    <col min="17" max="17" width="9.28515625" bestFit="1" customWidth="1"/>
    <col min="18" max="18" width="32.7109375" customWidth="1"/>
    <col min="19" max="19" width="22.85546875" customWidth="1"/>
    <col min="20" max="22" width="9.28515625" bestFit="1" customWidth="1"/>
    <col min="42" max="42" width="24.7109375" customWidth="1"/>
    <col min="43" max="43" width="27.7109375" style="90" customWidth="1"/>
    <col min="44" max="44" width="38.7109375" style="90" customWidth="1"/>
    <col min="45" max="45" width="30.28515625" style="90" customWidth="1"/>
    <col min="46" max="46" width="3.7109375" customWidth="1"/>
    <col min="47" max="47" width="38.140625" customWidth="1"/>
    <col min="48" max="48" width="42.7109375" customWidth="1"/>
    <col min="49" max="49" width="44.140625" customWidth="1"/>
    <col min="50" max="50" width="39" customWidth="1"/>
    <col min="51" max="51" width="41.85546875" customWidth="1"/>
  </cols>
  <sheetData>
    <row r="1" spans="2:60" ht="30" customHeight="1" x14ac:dyDescent="0.25">
      <c r="B1" s="267" t="s">
        <v>348</v>
      </c>
      <c r="N1" s="281" t="s">
        <v>346</v>
      </c>
      <c r="O1" s="315"/>
      <c r="P1" s="315"/>
      <c r="AP1" t="s">
        <v>177</v>
      </c>
      <c r="AS1" s="90" t="s">
        <v>180</v>
      </c>
      <c r="AU1" s="90" t="s">
        <v>179</v>
      </c>
      <c r="AV1" t="s">
        <v>181</v>
      </c>
      <c r="AW1" s="90" t="s">
        <v>182</v>
      </c>
      <c r="AX1" t="s">
        <v>183</v>
      </c>
      <c r="AY1" s="90" t="s">
        <v>184</v>
      </c>
      <c r="BE1" t="s">
        <v>268</v>
      </c>
    </row>
    <row r="2" spans="2:60" x14ac:dyDescent="0.25">
      <c r="N2" s="315"/>
      <c r="O2" s="315"/>
      <c r="P2" s="315"/>
      <c r="AO2" s="90" t="s">
        <v>172</v>
      </c>
      <c r="AP2" s="90" t="s">
        <v>173</v>
      </c>
      <c r="AQ2" s="90" t="s">
        <v>174</v>
      </c>
      <c r="AR2" s="90" t="s">
        <v>175</v>
      </c>
      <c r="AS2" s="90" t="s">
        <v>176</v>
      </c>
      <c r="AU2" s="90" t="s">
        <v>178</v>
      </c>
      <c r="AV2" s="90" t="s">
        <v>0</v>
      </c>
      <c r="BE2" t="s">
        <v>269</v>
      </c>
    </row>
    <row r="3" spans="2:60" ht="36" x14ac:dyDescent="0.55000000000000004">
      <c r="B3" s="42" t="s">
        <v>45</v>
      </c>
      <c r="C3" s="43"/>
      <c r="D3" s="43"/>
      <c r="E3" s="43"/>
      <c r="F3" s="43"/>
      <c r="G3" s="43"/>
      <c r="H3" s="43"/>
      <c r="I3" s="43"/>
      <c r="J3" s="43"/>
      <c r="K3" s="43"/>
      <c r="L3" s="43"/>
      <c r="N3" s="282" t="s">
        <v>347</v>
      </c>
      <c r="O3" s="283"/>
      <c r="P3" s="283"/>
      <c r="AE3" t="s">
        <v>0</v>
      </c>
      <c r="AO3">
        <v>1</v>
      </c>
      <c r="AP3" s="126" t="str">
        <f>COMPLEX(0.0001,-1*$D$22/AO3)</f>
        <v>0.0001-38.088i</v>
      </c>
      <c r="AQ3" s="105" t="str">
        <f>COMPLEX(0.000001,-1*$D$23/AO3)</f>
        <v>0.000001-2.43176091208656i</v>
      </c>
      <c r="AR3" s="105" t="str">
        <f>COMPLEX($D$24/$D$26,$D$24*AO3)</f>
        <v>0.0243176091208656+2.43176091208656i</v>
      </c>
      <c r="AS3" s="93" t="str">
        <f t="shared" ref="AS3:AS42" si="0">COMPLEX($D$17,0.0001)</f>
        <v>19.8528960862747+0.0001i</v>
      </c>
      <c r="AU3" s="87" t="str">
        <f t="shared" ref="AU3" si="1">IMSUM(AR3,AQ3)</f>
        <v>0.0243186091208656</v>
      </c>
      <c r="AV3" t="str">
        <f>IMPRODUCT(AU3,AS3)</f>
        <v>0.482794819839277+2.43186091208656E-06i</v>
      </c>
      <c r="AW3" t="str">
        <f>IMSUM(AS3,AU3)</f>
        <v>19.8772146953956+0.0001i</v>
      </c>
      <c r="AX3" t="str">
        <f>IMDIV(AV3,AW3)</f>
        <v>0.0242888567255415+1.49680907410939E-10i</v>
      </c>
      <c r="AY3" t="str">
        <f>IMSUM(AX3,AP3)</f>
        <v>0.0243888567255415-38.0879999998503i</v>
      </c>
      <c r="AZ3">
        <f>AO3</f>
        <v>1</v>
      </c>
      <c r="BA3">
        <f>IMABS(AY3)</f>
        <v>38.088007808297462</v>
      </c>
      <c r="BE3" t="s">
        <v>270</v>
      </c>
    </row>
    <row r="4" spans="2:60" ht="20.25" customHeight="1" x14ac:dyDescent="0.4">
      <c r="B4" s="175" t="s">
        <v>46</v>
      </c>
      <c r="C4" s="44"/>
      <c r="D4" s="44"/>
      <c r="E4" s="44"/>
      <c r="F4" s="44"/>
      <c r="G4" s="285" t="s">
        <v>47</v>
      </c>
      <c r="H4" s="285"/>
      <c r="I4" s="285"/>
      <c r="J4" s="285"/>
      <c r="K4" s="285"/>
      <c r="L4" s="285"/>
      <c r="AO4">
        <f>AO3+0.2</f>
        <v>1.2</v>
      </c>
      <c r="AP4" s="126" t="str">
        <f t="shared" ref="AP4:AP69" si="2">COMPLEX(0.0001,-1*$D$22/AO4)</f>
        <v>0.0001-31.74i</v>
      </c>
      <c r="AQ4" s="105" t="str">
        <f t="shared" ref="AQ4:AQ69" si="3">COMPLEX(0.000001,-1*$D$23/AO4)</f>
        <v>0.000001-2.0264674267388i</v>
      </c>
      <c r="AR4" s="105" t="str">
        <f t="shared" ref="AR4:AR69" si="4">COMPLEX($D$24/$D$26,$D$24*AO4)</f>
        <v>0.0243176091208656+2.91811309450387i</v>
      </c>
      <c r="AS4" s="93" t="str">
        <f t="shared" si="0"/>
        <v>19.8528960862747+0.0001i</v>
      </c>
      <c r="AT4" s="87"/>
      <c r="AU4" s="87" t="str">
        <f t="shared" ref="AU4:AU69" si="5">IMSUM(AR4,AQ4)</f>
        <v>0.0243186091208656+0.89164566776507i</v>
      </c>
      <c r="AV4" s="87" t="str">
        <f t="shared" ref="AV4:AV69" si="6">IMPRODUCT(AU4,AS4)</f>
        <v>0.4827056552725+17.7017512197779i</v>
      </c>
      <c r="AW4" s="87" t="str">
        <f t="shared" ref="AW4:AW69" si="7">IMSUM(AS4,AU4)</f>
        <v>19.8772146953956+0.89174566776507i</v>
      </c>
      <c r="AX4" s="87" t="str">
        <f t="shared" ref="AX4:AX69" si="8">IMDIV(AV4,AW4)</f>
        <v>0.0641080476578539+0.88767885321968i</v>
      </c>
      <c r="AY4" s="87" t="str">
        <f t="shared" ref="AY4:AY69" si="9">IMSUM(AX4,AP4)</f>
        <v>0.0642080476578539-30.8523211467803i</v>
      </c>
      <c r="AZ4" s="87">
        <f t="shared" ref="AZ4:AZ69" si="10">AO4</f>
        <v>1.2</v>
      </c>
      <c r="BA4" s="87">
        <f t="shared" ref="BA4:BA69" si="11">IMABS(AY4)</f>
        <v>30.852387959726087</v>
      </c>
    </row>
    <row r="5" spans="2:60" x14ac:dyDescent="0.25">
      <c r="AO5" s="87">
        <f t="shared" ref="AO5:AO31" si="12">AO4+0.2</f>
        <v>1.4</v>
      </c>
      <c r="AP5" s="126" t="str">
        <f t="shared" si="2"/>
        <v>0.0001-27.2057142857143i</v>
      </c>
      <c r="AQ5" s="105" t="str">
        <f t="shared" si="3"/>
        <v>0.000001-1.73697208006183i</v>
      </c>
      <c r="AR5" s="105" t="str">
        <f t="shared" si="4"/>
        <v>0.0243176091208656+3.40446527692118i</v>
      </c>
      <c r="AS5" s="93" t="str">
        <f t="shared" si="0"/>
        <v>19.8528960862747+0.0001i</v>
      </c>
      <c r="AT5" s="87"/>
      <c r="AU5" s="87" t="str">
        <f t="shared" si="5"/>
        <v>0.0243186091208656+1.66749319685935i</v>
      </c>
      <c r="AV5" s="87" t="str">
        <f t="shared" si="6"/>
        <v>0.482628070519591+33.1045715936796i</v>
      </c>
      <c r="AW5" s="87" t="str">
        <f t="shared" si="7"/>
        <v>19.8772146953956+1.66759319685935i</v>
      </c>
      <c r="AX5" s="87" t="str">
        <f t="shared" si="8"/>
        <v>0.162856947387184+1.65179040219156i</v>
      </c>
      <c r="AY5" s="87" t="str">
        <f t="shared" si="9"/>
        <v>0.162956947387184-25.5539238835227i</v>
      </c>
      <c r="AZ5" s="87">
        <f t="shared" si="10"/>
        <v>1.4</v>
      </c>
      <c r="BA5" s="87">
        <f t="shared" si="11"/>
        <v>25.55444346511138</v>
      </c>
    </row>
    <row r="6" spans="2:60" ht="21" x14ac:dyDescent="0.35">
      <c r="B6" s="286" t="s">
        <v>125</v>
      </c>
      <c r="C6" s="286"/>
      <c r="D6" s="286"/>
      <c r="E6" s="286"/>
      <c r="F6" s="286"/>
      <c r="G6" s="286"/>
      <c r="H6" s="286"/>
      <c r="I6" s="286"/>
      <c r="J6" s="286"/>
      <c r="K6" s="286"/>
      <c r="L6" s="286"/>
      <c r="N6" s="136" t="s">
        <v>143</v>
      </c>
      <c r="O6" s="136"/>
      <c r="P6" s="136"/>
      <c r="Q6" s="136"/>
      <c r="AO6" s="87">
        <f t="shared" si="12"/>
        <v>1.5999999999999999</v>
      </c>
      <c r="AP6" s="126" t="str">
        <f t="shared" si="2"/>
        <v>0.0001-23.805i</v>
      </c>
      <c r="AQ6" s="105" t="str">
        <f t="shared" si="3"/>
        <v>0.000001-1.5198505700541i</v>
      </c>
      <c r="AR6" s="105" t="str">
        <f t="shared" si="4"/>
        <v>0.0243176091208656+3.89081745933849i</v>
      </c>
      <c r="AS6" s="93" t="str">
        <f t="shared" si="0"/>
        <v>19.8528960862747+0.0001i</v>
      </c>
      <c r="AT6" s="87"/>
      <c r="AU6" s="87" t="str">
        <f t="shared" si="5"/>
        <v>0.0243186091208656+2.37096688928439i</v>
      </c>
      <c r="AV6" s="87" t="str">
        <f t="shared" si="6"/>
        <v>0.482557723150348+47.0705617088219i</v>
      </c>
      <c r="AW6" s="87" t="str">
        <f t="shared" si="7"/>
        <v>19.8772146953956+2.37106688928439i</v>
      </c>
      <c r="AX6" s="87" t="str">
        <f t="shared" si="8"/>
        <v>0.302449723868926+2.33198835416415i</v>
      </c>
      <c r="AY6" s="87" t="str">
        <f t="shared" si="9"/>
        <v>0.302549723868926-21.4730116458359i</v>
      </c>
      <c r="AZ6" s="87">
        <f t="shared" si="10"/>
        <v>1.5999999999999999</v>
      </c>
      <c r="BA6" s="87">
        <f t="shared" si="11"/>
        <v>21.475142967571077</v>
      </c>
    </row>
    <row r="7" spans="2:60" x14ac:dyDescent="0.25">
      <c r="N7" s="87"/>
      <c r="O7" s="87"/>
      <c r="P7" s="87"/>
      <c r="Q7" s="87"/>
      <c r="AO7" s="87">
        <f t="shared" si="12"/>
        <v>1.7999999999999998</v>
      </c>
      <c r="AP7" s="126" t="str">
        <f t="shared" si="2"/>
        <v>0.0001-21.16i</v>
      </c>
      <c r="AQ7" s="105" t="str">
        <f t="shared" si="3"/>
        <v>0.000001-1.35097828449253i</v>
      </c>
      <c r="AR7" s="105" t="str">
        <f t="shared" si="4"/>
        <v>0.0243176091208656+4.3771696417558i</v>
      </c>
      <c r="AS7" s="93" t="str">
        <f t="shared" si="0"/>
        <v>19.8528960862747+0.0001i</v>
      </c>
      <c r="AT7" s="87"/>
      <c r="AU7" s="87" t="str">
        <f t="shared" si="5"/>
        <v>0.0243186091208656+3.02619135726327i</v>
      </c>
      <c r="AV7" s="87" t="str">
        <f t="shared" si="6"/>
        <v>0.482492200703551+60.0786649847912i</v>
      </c>
      <c r="AW7" s="87" t="str">
        <f t="shared" si="7"/>
        <v>19.8772146953956+3.02629135726327i</v>
      </c>
      <c r="AX7" s="87" t="str">
        <f t="shared" si="8"/>
        <v>0.473470414465186+2.95040358824318i</v>
      </c>
      <c r="AY7" s="87" t="str">
        <f t="shared" si="9"/>
        <v>0.473570414465186-18.2095964117568i</v>
      </c>
      <c r="AZ7" s="87">
        <f t="shared" si="10"/>
        <v>1.7999999999999998</v>
      </c>
      <c r="BA7" s="87">
        <f t="shared" si="11"/>
        <v>18.215753358467577</v>
      </c>
    </row>
    <row r="8" spans="2:60" ht="18" x14ac:dyDescent="0.35">
      <c r="B8" s="4" t="s">
        <v>103</v>
      </c>
      <c r="D8" s="98">
        <v>13.8</v>
      </c>
      <c r="E8" t="s">
        <v>1</v>
      </c>
      <c r="H8" s="173" t="s">
        <v>169</v>
      </c>
      <c r="I8" s="287" t="s">
        <v>273</v>
      </c>
      <c r="J8" s="288"/>
      <c r="K8" s="288"/>
      <c r="L8" s="289"/>
      <c r="N8" s="87" t="s">
        <v>164</v>
      </c>
      <c r="O8" s="98">
        <v>93.91</v>
      </c>
      <c r="P8" s="87" t="s">
        <v>166</v>
      </c>
      <c r="Q8" s="87"/>
      <c r="AO8" s="87">
        <f t="shared" si="12"/>
        <v>1.9999999999999998</v>
      </c>
      <c r="AP8" s="126" t="str">
        <f t="shared" si="2"/>
        <v>0.0001-19.044i</v>
      </c>
      <c r="AQ8" s="105" t="str">
        <f t="shared" si="3"/>
        <v>0.000001-1.21588045604328i</v>
      </c>
      <c r="AR8" s="105" t="str">
        <f t="shared" si="4"/>
        <v>0.0243176091208656+4.86352182417311i</v>
      </c>
      <c r="AS8" s="93" t="str">
        <f t="shared" si="0"/>
        <v>19.8528960862747+0.0001i</v>
      </c>
      <c r="AT8" s="87"/>
      <c r="AU8" s="87" t="str">
        <f t="shared" si="5"/>
        <v>0.0243186091208656+3.64764136812983i</v>
      </c>
      <c r="AV8" s="87" t="str">
        <f t="shared" si="6"/>
        <v>0.482430055702464+72.4162474733393i</v>
      </c>
      <c r="AW8" s="87" t="str">
        <f t="shared" si="7"/>
        <v>19.8772146953956+3.64774136812983i</v>
      </c>
      <c r="AX8" s="87" t="str">
        <f t="shared" si="8"/>
        <v>0.670270858087315+3.52017492433941i</v>
      </c>
      <c r="AY8" s="87" t="str">
        <f t="shared" si="9"/>
        <v>0.670370858087315-15.5238250756606i</v>
      </c>
      <c r="AZ8" s="87">
        <f t="shared" si="10"/>
        <v>1.9999999999999998</v>
      </c>
      <c r="BA8" s="87">
        <f t="shared" si="11"/>
        <v>15.538292765522266</v>
      </c>
      <c r="BE8" s="91" t="s">
        <v>111</v>
      </c>
      <c r="BH8" s="176">
        <v>200</v>
      </c>
    </row>
    <row r="9" spans="2:60" ht="18" x14ac:dyDescent="0.35">
      <c r="B9" s="4" t="s">
        <v>104</v>
      </c>
      <c r="D9" s="148">
        <v>5000</v>
      </c>
      <c r="E9" t="s">
        <v>11</v>
      </c>
      <c r="F9" s="87"/>
      <c r="H9" s="173" t="s">
        <v>170</v>
      </c>
      <c r="I9" s="290" t="s">
        <v>274</v>
      </c>
      <c r="J9" s="291"/>
      <c r="K9" s="291"/>
      <c r="L9" s="292"/>
      <c r="N9" t="s">
        <v>163</v>
      </c>
      <c r="O9" s="98">
        <v>49.69</v>
      </c>
      <c r="P9" s="87" t="s">
        <v>166</v>
      </c>
      <c r="Q9" s="87"/>
      <c r="AO9" s="87">
        <f t="shared" si="12"/>
        <v>2.1999999999999997</v>
      </c>
      <c r="AP9" s="126" t="str">
        <f t="shared" si="2"/>
        <v>0.0001-17.3127272727273i</v>
      </c>
      <c r="AQ9" s="105" t="str">
        <f t="shared" si="3"/>
        <v>0.000001-1.10534586913025i</v>
      </c>
      <c r="AR9" s="105" t="str">
        <f t="shared" si="4"/>
        <v>0.0243176091208656+5.34987400659043i</v>
      </c>
      <c r="AS9" s="93" t="str">
        <f t="shared" si="0"/>
        <v>19.8528960862747+0.0001i</v>
      </c>
      <c r="AT9" s="87"/>
      <c r="AU9" s="87" t="str">
        <f t="shared" si="5"/>
        <v>0.0243186091208656+4.24452813746018i</v>
      </c>
      <c r="AV9" s="87" t="str">
        <f t="shared" si="6"/>
        <v>0.482370367025531+84.266178480127i</v>
      </c>
      <c r="AW9" s="87" t="str">
        <f t="shared" si="7"/>
        <v>19.8772146953956+4.24462813746018i</v>
      </c>
      <c r="AX9" s="87" t="str">
        <f t="shared" si="8"/>
        <v>0.88900633846224+4.04949478058187i</v>
      </c>
      <c r="AY9" s="87" t="str">
        <f t="shared" si="9"/>
        <v>0.88910633846224-13.2632324921454i</v>
      </c>
      <c r="AZ9" s="87">
        <f t="shared" si="10"/>
        <v>2.1999999999999997</v>
      </c>
      <c r="BA9" s="87">
        <f t="shared" si="11"/>
        <v>13.292999895501211</v>
      </c>
    </row>
    <row r="10" spans="2:60" x14ac:dyDescent="0.25">
      <c r="B10" s="4" t="s">
        <v>105</v>
      </c>
      <c r="D10" s="107">
        <v>4.0819999999999999</v>
      </c>
      <c r="E10" t="s">
        <v>84</v>
      </c>
      <c r="N10" s="87" t="s">
        <v>145</v>
      </c>
      <c r="O10" s="107">
        <v>107.89</v>
      </c>
      <c r="P10" s="87" t="s">
        <v>9</v>
      </c>
      <c r="Q10" s="87"/>
      <c r="AO10" s="87">
        <f t="shared" si="12"/>
        <v>2.4</v>
      </c>
      <c r="AP10" s="126" t="str">
        <f t="shared" si="2"/>
        <v>0.0001-15.87i</v>
      </c>
      <c r="AQ10" s="105" t="str">
        <f t="shared" si="3"/>
        <v>0.000001-1.0132337133694i</v>
      </c>
      <c r="AR10" s="105" t="str">
        <f t="shared" si="4"/>
        <v>0.0243176091208656+5.83622618900774i</v>
      </c>
      <c r="AS10" s="93" t="str">
        <f t="shared" si="0"/>
        <v>19.8528960862747+0.0001i</v>
      </c>
      <c r="AT10" s="87"/>
      <c r="AU10" s="87" t="str">
        <f t="shared" si="5"/>
        <v>0.0243186091208656+4.82299247563834i</v>
      </c>
      <c r="AV10" s="87" t="str">
        <f t="shared" si="6"/>
        <v>0.482312520591713+95.7503708755936i</v>
      </c>
      <c r="AW10" s="87" t="str">
        <f t="shared" si="7"/>
        <v>19.8772146953956+4.82309247563834i</v>
      </c>
      <c r="AX10" s="87" t="str">
        <f t="shared" si="8"/>
        <v>1.12676472831136+4.54368893110469i</v>
      </c>
      <c r="AY10" s="87" t="str">
        <f t="shared" si="9"/>
        <v>1.12686472831136-11.3263110688953i</v>
      </c>
      <c r="AZ10" s="87">
        <f t="shared" si="10"/>
        <v>2.4</v>
      </c>
      <c r="BA10" s="87">
        <f t="shared" si="11"/>
        <v>11.382229418936014</v>
      </c>
    </row>
    <row r="11" spans="2:60" ht="18.75" x14ac:dyDescent="0.35">
      <c r="B11" s="4" t="s">
        <v>106</v>
      </c>
      <c r="D11" s="98">
        <v>60</v>
      </c>
      <c r="E11" t="s">
        <v>8</v>
      </c>
      <c r="I11" t="s">
        <v>0</v>
      </c>
      <c r="N11" s="95" t="s">
        <v>146</v>
      </c>
      <c r="O11" s="89">
        <f>2*3.1415*D11*O10/1000</f>
        <v>40.672372200000005</v>
      </c>
      <c r="P11" s="87" t="s">
        <v>3</v>
      </c>
      <c r="Q11" s="87"/>
      <c r="AO11" s="87">
        <f t="shared" si="12"/>
        <v>2.6</v>
      </c>
      <c r="AP11" s="126" t="str">
        <f t="shared" si="2"/>
        <v>0.0001-14.6492307692308i</v>
      </c>
      <c r="AQ11" s="105" t="str">
        <f t="shared" si="3"/>
        <v>0.000001-0.93529265849483i</v>
      </c>
      <c r="AR11" s="105" t="str">
        <f t="shared" si="4"/>
        <v>0.0243176091208656+6.32257837142505i</v>
      </c>
      <c r="AS11" s="93" t="str">
        <f t="shared" si="0"/>
        <v>19.8528960862747+0.0001i</v>
      </c>
      <c r="AT11" s="87"/>
      <c r="AU11" s="87" t="str">
        <f t="shared" si="5"/>
        <v>0.0243186091208656+5.38728571293022i</v>
      </c>
      <c r="AV11" s="87" t="str">
        <f t="shared" si="6"/>
        <v>0.482256091267984+106.953225877737i</v>
      </c>
      <c r="AW11" s="87" t="str">
        <f t="shared" si="7"/>
        <v>19.8772146953956+5.38738571293022i</v>
      </c>
      <c r="AX11" s="87" t="str">
        <f t="shared" si="8"/>
        <v>1.3811508713098+5.00635702391909i</v>
      </c>
      <c r="AY11" s="87" t="str">
        <f t="shared" si="9"/>
        <v>1.3812508713098-9.64287374531171i</v>
      </c>
      <c r="AZ11" s="87">
        <f t="shared" si="10"/>
        <v>2.6</v>
      </c>
      <c r="BA11" s="87">
        <f t="shared" si="11"/>
        <v>9.7412970408214132</v>
      </c>
    </row>
    <row r="12" spans="2:60" ht="18.75" x14ac:dyDescent="0.35">
      <c r="B12" s="4" t="s">
        <v>107</v>
      </c>
      <c r="D12" s="3">
        <f>D10*D11</f>
        <v>244.92</v>
      </c>
      <c r="E12" t="s">
        <v>83</v>
      </c>
      <c r="N12" s="95" t="s">
        <v>165</v>
      </c>
      <c r="O12" s="89">
        <f>1/(2*3.1415*D11*(O8/(1000*1000)))</f>
        <v>28.246838660424405</v>
      </c>
      <c r="P12" s="87" t="s">
        <v>3</v>
      </c>
      <c r="Q12" s="87"/>
      <c r="AO12" s="87">
        <f t="shared" si="12"/>
        <v>2.8000000000000003</v>
      </c>
      <c r="AP12" s="126" t="str">
        <f t="shared" si="2"/>
        <v>0.0001-13.6028571428571i</v>
      </c>
      <c r="AQ12" s="105" t="str">
        <f t="shared" si="3"/>
        <v>0.000001-0.868486040030913i</v>
      </c>
      <c r="AR12" s="105" t="str">
        <f t="shared" si="4"/>
        <v>0.0243176091208656+6.80893055384236i</v>
      </c>
      <c r="AS12" s="93" t="str">
        <f t="shared" si="0"/>
        <v>19.8528960862747+0.0001i</v>
      </c>
      <c r="AT12" s="87"/>
      <c r="AU12" s="87" t="str">
        <f t="shared" si="5"/>
        <v>0.0243186091208656+5.94044451381145i</v>
      </c>
      <c r="AV12" s="87" t="str">
        <f t="shared" si="6"/>
        <v>0.482200775387896+117.93503007084i</v>
      </c>
      <c r="AW12" s="87" t="str">
        <f t="shared" si="7"/>
        <v>19.8772146953956+5.94054451381145i</v>
      </c>
      <c r="AX12" s="87" t="str">
        <f t="shared" si="8"/>
        <v>1.65007770672145+5.44003129512212i</v>
      </c>
      <c r="AY12" s="87" t="str">
        <f t="shared" si="9"/>
        <v>1.65017770672145-8.16282584773498i</v>
      </c>
      <c r="AZ12" s="87">
        <f t="shared" si="10"/>
        <v>2.8000000000000003</v>
      </c>
      <c r="BA12" s="87">
        <f t="shared" si="11"/>
        <v>8.3279536672708954</v>
      </c>
    </row>
    <row r="13" spans="2:60" ht="18.75" x14ac:dyDescent="0.35">
      <c r="B13" s="4" t="s">
        <v>108</v>
      </c>
      <c r="D13" s="2">
        <f>D8*D8/(D9*0.001)</f>
        <v>38.088000000000008</v>
      </c>
      <c r="E13" t="s">
        <v>3</v>
      </c>
      <c r="K13" t="s">
        <v>0</v>
      </c>
      <c r="N13" s="95" t="s">
        <v>165</v>
      </c>
      <c r="O13" s="89">
        <f>1/(2*3.1415*D11*(O9/(1000*1000)))</f>
        <v>53.384194377147431</v>
      </c>
      <c r="P13" s="87" t="s">
        <v>3</v>
      </c>
      <c r="Q13" s="87"/>
      <c r="AO13" s="87">
        <f t="shared" si="12"/>
        <v>3.0000000000000004</v>
      </c>
      <c r="AP13" s="126" t="str">
        <f t="shared" si="2"/>
        <v>0.0001-12.696i</v>
      </c>
      <c r="AQ13" s="105" t="str">
        <f t="shared" si="3"/>
        <v>0.000001-0.810586970695519i</v>
      </c>
      <c r="AR13" s="105" t="str">
        <f t="shared" si="4"/>
        <v>0.0243176091208656+7.29528273625967i</v>
      </c>
      <c r="AS13" s="93" t="str">
        <f t="shared" si="0"/>
        <v>19.8528960862747+0.0001i</v>
      </c>
      <c r="AT13" s="87"/>
      <c r="AU13" s="87" t="str">
        <f t="shared" si="5"/>
        <v>0.0243186091208656+6.48469576556415i</v>
      </c>
      <c r="AV13" s="87" t="str">
        <f t="shared" si="6"/>
        <v>0.482146350262721+128.739993616712i</v>
      </c>
      <c r="AW13" s="87" t="str">
        <f t="shared" si="7"/>
        <v>19.8772146953956+6.48479576556415i</v>
      </c>
      <c r="AX13" s="87" t="str">
        <f t="shared" si="8"/>
        <v>1.9316578705563+5.84657300422125i</v>
      </c>
      <c r="AY13" s="87" t="str">
        <f t="shared" si="9"/>
        <v>1.9317578705563-6.84942699577875i</v>
      </c>
      <c r="AZ13" s="87">
        <f t="shared" si="10"/>
        <v>3.0000000000000004</v>
      </c>
      <c r="BA13" s="87">
        <f t="shared" si="11"/>
        <v>7.1166241042336171</v>
      </c>
    </row>
    <row r="14" spans="2:60" ht="18" x14ac:dyDescent="0.35">
      <c r="B14" s="4" t="s">
        <v>29</v>
      </c>
      <c r="D14" s="89">
        <f>1000*0.001*D9/(D8*1.73)</f>
        <v>209.43285582642204</v>
      </c>
      <c r="E14" t="s">
        <v>12</v>
      </c>
      <c r="N14" s="95" t="s">
        <v>167</v>
      </c>
      <c r="O14" s="135">
        <f>SQRT((O12+O13)/O11)</f>
        <v>1.416700002461075</v>
      </c>
      <c r="P14" s="87"/>
      <c r="Q14" s="87"/>
      <c r="AO14" s="87">
        <f t="shared" si="12"/>
        <v>3.2000000000000006</v>
      </c>
      <c r="AP14" s="126" t="str">
        <f t="shared" si="2"/>
        <v>0.0001-11.9025i</v>
      </c>
      <c r="AQ14" s="105" t="str">
        <f t="shared" si="3"/>
        <v>0.000001-0.759925285027049i</v>
      </c>
      <c r="AR14" s="105" t="str">
        <f t="shared" si="4"/>
        <v>0.0243176091208656+7.78163491867699i</v>
      </c>
      <c r="AS14" s="93" t="str">
        <f t="shared" si="0"/>
        <v>19.8528960862747+0.0001i</v>
      </c>
      <c r="AT14" s="87"/>
      <c r="AU14" s="87" t="str">
        <f t="shared" si="5"/>
        <v>0.0243186091208656+7.02170963364994i</v>
      </c>
      <c r="AV14" s="87" t="str">
        <f t="shared" si="6"/>
        <v>0.482092648875912+139.401274136707i</v>
      </c>
      <c r="AW14" s="87" t="str">
        <f t="shared" si="7"/>
        <v>19.8772146953956+7.02180963364994i</v>
      </c>
      <c r="AX14" s="87" t="str">
        <f t="shared" si="8"/>
        <v>2.22414670546666+6.22741874404989i</v>
      </c>
      <c r="AY14" s="87" t="str">
        <f t="shared" si="9"/>
        <v>2.22424670546666-5.67508125595011i</v>
      </c>
      <c r="AZ14" s="87">
        <f t="shared" si="10"/>
        <v>3.2000000000000006</v>
      </c>
      <c r="BA14" s="87">
        <f t="shared" si="11"/>
        <v>6.0953933973465215</v>
      </c>
    </row>
    <row r="15" spans="2:60" ht="18.75" x14ac:dyDescent="0.35">
      <c r="B15" s="4" t="s">
        <v>54</v>
      </c>
      <c r="D15" s="20">
        <f>SQRT(SUM(S82:Z82,S76:Z76))</f>
        <v>231.22742289704931</v>
      </c>
      <c r="E15" s="18" t="s">
        <v>12</v>
      </c>
      <c r="N15" s="95" t="s">
        <v>26</v>
      </c>
      <c r="O15" s="89">
        <f>D8*D8/(O12+O13-O11)</f>
        <v>4.6495660772509266</v>
      </c>
      <c r="P15" t="s">
        <v>2</v>
      </c>
      <c r="AO15" s="87">
        <f t="shared" si="12"/>
        <v>3.4000000000000008</v>
      </c>
      <c r="AP15" s="126" t="str">
        <f t="shared" si="2"/>
        <v>0.0001-11.2023529411765i</v>
      </c>
      <c r="AQ15" s="105" t="str">
        <f t="shared" si="3"/>
        <v>0.000001-0.715223797672517i</v>
      </c>
      <c r="AR15" s="105" t="str">
        <f t="shared" si="4"/>
        <v>0.0243176091208656+8.2679871010943i</v>
      </c>
      <c r="AS15" s="93" t="str">
        <f t="shared" si="0"/>
        <v>19.8528960862747+0.0001i</v>
      </c>
      <c r="AT15" s="87"/>
      <c r="AU15" s="87" t="str">
        <f t="shared" si="5"/>
        <v>0.0243186091208656+7.55276330342178i</v>
      </c>
      <c r="AV15" s="87" t="str">
        <f t="shared" si="6"/>
        <v>0.482039543508935+149.944227458922i</v>
      </c>
      <c r="AW15" s="87" t="str">
        <f t="shared" si="7"/>
        <v>19.8772146953956+7.55286330342178i</v>
      </c>
      <c r="AX15" s="87" t="str">
        <f t="shared" si="8"/>
        <v>2.52591253268115+6.58373707728254i</v>
      </c>
      <c r="AY15" s="87" t="str">
        <f t="shared" si="9"/>
        <v>2.52601253268115-4.61861586389396i</v>
      </c>
      <c r="AZ15" s="87">
        <f t="shared" si="10"/>
        <v>3.4000000000000008</v>
      </c>
      <c r="BA15" s="87">
        <f t="shared" si="11"/>
        <v>5.2642522558740659</v>
      </c>
    </row>
    <row r="16" spans="2:60" x14ac:dyDescent="0.25">
      <c r="B16" s="4" t="s">
        <v>109</v>
      </c>
      <c r="D16" s="197">
        <f>BH8/100</f>
        <v>2</v>
      </c>
      <c r="AO16" s="87">
        <f t="shared" si="12"/>
        <v>3.600000000000001</v>
      </c>
      <c r="AP16" s="126" t="str">
        <f t="shared" si="2"/>
        <v>0.0001-10.58i</v>
      </c>
      <c r="AQ16" s="105" t="str">
        <f t="shared" si="3"/>
        <v>0.000001-0.675489142246266i</v>
      </c>
      <c r="AR16" s="105" t="str">
        <f t="shared" si="4"/>
        <v>0.0243176091208656+8.75433928351161i</v>
      </c>
      <c r="AS16" s="93" t="str">
        <f t="shared" si="0"/>
        <v>19.8528960862747+0.0001i</v>
      </c>
      <c r="AT16" s="87"/>
      <c r="AU16" s="87" t="str">
        <f t="shared" si="5"/>
        <v>0.0243186091208656+8.07885014126535i</v>
      </c>
      <c r="AV16" s="87" t="str">
        <f t="shared" si="6"/>
        <v>0.48198693482515+160.388574782988i</v>
      </c>
      <c r="AW16" s="87" t="str">
        <f t="shared" si="7"/>
        <v>19.8772146953956+8.07895014126535i</v>
      </c>
      <c r="AX16" s="87" t="str">
        <f t="shared" si="8"/>
        <v>2.83542165755354+6.91652963903416i</v>
      </c>
      <c r="AY16" s="87" t="str">
        <f t="shared" si="9"/>
        <v>2.83552165755354-3.66347036096584i</v>
      </c>
      <c r="AZ16" s="87">
        <f t="shared" si="10"/>
        <v>3.600000000000001</v>
      </c>
      <c r="BA16" s="87">
        <f t="shared" si="11"/>
        <v>4.6326232478079152</v>
      </c>
    </row>
    <row r="17" spans="2:53" ht="21" x14ac:dyDescent="0.35">
      <c r="B17" s="4" t="s">
        <v>110</v>
      </c>
      <c r="D17" s="89">
        <f>D16*D24*D10</f>
        <v>19.852896086274654</v>
      </c>
      <c r="E17" t="s">
        <v>3</v>
      </c>
      <c r="N17" s="136" t="s">
        <v>218</v>
      </c>
      <c r="O17" s="136"/>
      <c r="P17" s="136"/>
      <c r="AO17" s="87">
        <f t="shared" si="12"/>
        <v>3.8000000000000012</v>
      </c>
      <c r="AP17" s="126" t="str">
        <f t="shared" si="2"/>
        <v>0.0001-10.0231578947368i</v>
      </c>
      <c r="AQ17" s="105" t="str">
        <f t="shared" si="3"/>
        <v>0.000001-0.639937082128041i</v>
      </c>
      <c r="AR17" s="105" t="str">
        <f t="shared" si="4"/>
        <v>0.0243176091208656+9.24069146592892i</v>
      </c>
      <c r="AS17" s="93" t="str">
        <f t="shared" si="0"/>
        <v>19.8528960862747+0.0001i</v>
      </c>
      <c r="AT17" s="87"/>
      <c r="AU17" s="87" t="str">
        <f t="shared" si="5"/>
        <v>0.0243186091208656+8.60075438380088i</v>
      </c>
      <c r="AV17" s="87" t="str">
        <f t="shared" si="6"/>
        <v>0.481934744400897+170.749885477031i</v>
      </c>
      <c r="AW17" s="87" t="str">
        <f t="shared" si="7"/>
        <v>19.8772146953956+8.60085438380088i</v>
      </c>
      <c r="AX17" s="87" t="str">
        <f t="shared" si="8"/>
        <v>3.1512313227596+7.22669679538039i</v>
      </c>
      <c r="AY17" s="87" t="str">
        <f t="shared" si="9"/>
        <v>3.1513313227596-2.79646109935641i</v>
      </c>
      <c r="AZ17" s="87">
        <f t="shared" si="10"/>
        <v>3.8000000000000012</v>
      </c>
      <c r="BA17" s="87">
        <f t="shared" si="11"/>
        <v>4.2132035063618076</v>
      </c>
    </row>
    <row r="18" spans="2:53" ht="18" x14ac:dyDescent="0.25">
      <c r="B18" s="46" t="s">
        <v>111</v>
      </c>
      <c r="D18" s="6">
        <f>SUM(S96:AH96)</f>
        <v>48.979024703353218</v>
      </c>
      <c r="E18" t="s">
        <v>82</v>
      </c>
      <c r="N18" s="87"/>
      <c r="O18" s="87"/>
      <c r="P18" s="87"/>
      <c r="AO18" s="87">
        <f t="shared" si="12"/>
        <v>4.0000000000000009</v>
      </c>
      <c r="AP18" s="126" t="str">
        <f t="shared" si="2"/>
        <v>0.0001-9.522i</v>
      </c>
      <c r="AQ18" s="105" t="str">
        <f t="shared" si="3"/>
        <v>0.000001-0.607940228021639i</v>
      </c>
      <c r="AR18" s="105" t="str">
        <f t="shared" si="4"/>
        <v>0.0243176091208656+9.72704364834623i</v>
      </c>
      <c r="AS18" s="93" t="str">
        <f t="shared" si="0"/>
        <v>19.8528960862747+0.0001i</v>
      </c>
      <c r="AT18" s="87"/>
      <c r="AU18" s="87" t="str">
        <f t="shared" si="5"/>
        <v>0.0243186091208656+9.11910342032459i</v>
      </c>
      <c r="AV18" s="87" t="str">
        <f t="shared" si="6"/>
        <v>0.481882909497244+181.040615035557i</v>
      </c>
      <c r="AW18" s="87" t="str">
        <f t="shared" si="7"/>
        <v>19.8772146953956+9.11920342032459i</v>
      </c>
      <c r="AX18" s="87" t="str">
        <f t="shared" si="8"/>
        <v>3.47198681091913+7.51508012179915i</v>
      </c>
      <c r="AY18" s="87" t="str">
        <f t="shared" si="9"/>
        <v>3.47208681091913-2.00691987820085i</v>
      </c>
      <c r="AZ18" s="87">
        <f t="shared" si="10"/>
        <v>4.0000000000000009</v>
      </c>
      <c r="BA18" s="87">
        <f t="shared" si="11"/>
        <v>4.0103758203036648</v>
      </c>
    </row>
    <row r="19" spans="2:53" ht="20.25" x14ac:dyDescent="0.35">
      <c r="B19" s="91" t="s">
        <v>303</v>
      </c>
      <c r="D19" s="93">
        <v>0</v>
      </c>
      <c r="E19" t="s">
        <v>12</v>
      </c>
      <c r="F19" t="s">
        <v>307</v>
      </c>
      <c r="N19" s="87" t="s">
        <v>219</v>
      </c>
      <c r="O19" s="98">
        <v>490</v>
      </c>
      <c r="P19" s="87" t="s">
        <v>11</v>
      </c>
      <c r="X19" s="87" t="s">
        <v>330</v>
      </c>
      <c r="AO19" s="87">
        <f t="shared" si="12"/>
        <v>4.2000000000000011</v>
      </c>
      <c r="AP19" s="126" t="str">
        <f t="shared" si="2"/>
        <v>0.0001-9.06857142857143i</v>
      </c>
      <c r="AQ19" s="105" t="str">
        <f t="shared" si="3"/>
        <v>0.000001-0.578990693353942i</v>
      </c>
      <c r="AR19" s="105" t="str">
        <f t="shared" si="4"/>
        <v>0.0243176091208656+10.2133958307635i</v>
      </c>
      <c r="AS19" s="93" t="str">
        <f t="shared" si="0"/>
        <v>19.8528960862747+0.0001i</v>
      </c>
      <c r="AT19" s="87"/>
      <c r="AU19" s="87" t="str">
        <f t="shared" si="5"/>
        <v>0.0243186091208656+9.63440513740956i</v>
      </c>
      <c r="AV19" s="87" t="str">
        <f t="shared" si="6"/>
        <v>0.481831379325536+191.270846477924i</v>
      </c>
      <c r="AW19" s="87" t="str">
        <f t="shared" si="7"/>
        <v>19.8772146953956+9.63450513740956i</v>
      </c>
      <c r="AX19" s="87" t="str">
        <f t="shared" si="8"/>
        <v>3.79642052513203+7.7824894380502i</v>
      </c>
      <c r="AY19" s="87" t="str">
        <f t="shared" si="9"/>
        <v>3.79652052513203-1.28608199052123i</v>
      </c>
      <c r="AZ19" s="87">
        <f t="shared" si="10"/>
        <v>4.2000000000000011</v>
      </c>
      <c r="BA19" s="87">
        <f t="shared" si="11"/>
        <v>4.0084379730877506</v>
      </c>
    </row>
    <row r="20" spans="2:53" x14ac:dyDescent="0.25">
      <c r="B20" s="46" t="s">
        <v>304</v>
      </c>
      <c r="C20" s="87"/>
      <c r="D20" s="264">
        <f>D18*1.5</f>
        <v>73.468537055029827</v>
      </c>
      <c r="E20" s="195" t="s">
        <v>82</v>
      </c>
      <c r="F20" t="s">
        <v>306</v>
      </c>
      <c r="J20" s="22"/>
      <c r="K20" s="21"/>
      <c r="N20" s="87" t="s">
        <v>220</v>
      </c>
      <c r="O20" s="98">
        <v>60</v>
      </c>
      <c r="P20" s="87" t="s">
        <v>222</v>
      </c>
      <c r="AO20" s="87">
        <f t="shared" si="12"/>
        <v>4.4000000000000012</v>
      </c>
      <c r="AP20" s="126" t="str">
        <f t="shared" si="2"/>
        <v>0.0001-8.65636363636364i</v>
      </c>
      <c r="AQ20" s="105" t="str">
        <f t="shared" si="3"/>
        <v>0.000001-0.552672934565127i</v>
      </c>
      <c r="AR20" s="105" t="str">
        <f t="shared" si="4"/>
        <v>0.0243176091208656+10.6997480131809i</v>
      </c>
      <c r="AS20" s="93" t="str">
        <f t="shared" si="0"/>
        <v>19.8528960862747+0.0001i</v>
      </c>
      <c r="AT20" s="87"/>
      <c r="AU20" s="87" t="str">
        <f t="shared" si="5"/>
        <v>0.0243186091208656+10.1470750786158i</v>
      </c>
      <c r="AV20" s="87" t="str">
        <f t="shared" si="6"/>
        <v>0.481780112331415+201.448829547248i</v>
      </c>
      <c r="AW20" s="87" t="str">
        <f t="shared" si="7"/>
        <v>19.8772146953956+10.1471750786158i</v>
      </c>
      <c r="AX20" s="87" t="str">
        <f t="shared" si="8"/>
        <v>4.12335179760889+8.02971942458103i</v>
      </c>
      <c r="AY20" s="87" t="str">
        <f t="shared" si="9"/>
        <v>4.12345179760889-0.62664421178261i</v>
      </c>
      <c r="AZ20" s="87">
        <f t="shared" si="10"/>
        <v>4.4000000000000012</v>
      </c>
      <c r="BA20" s="87">
        <f t="shared" si="11"/>
        <v>4.1707958107973395</v>
      </c>
    </row>
    <row r="21" spans="2:53" ht="20.25" x14ac:dyDescent="0.35">
      <c r="B21" s="91" t="s">
        <v>314</v>
      </c>
      <c r="C21" s="87"/>
      <c r="D21" s="139">
        <f>SQRT((D20*1000)/D17)</f>
        <v>60.832933736377178</v>
      </c>
      <c r="E21" s="195" t="s">
        <v>12</v>
      </c>
      <c r="N21" s="87" t="s">
        <v>221</v>
      </c>
      <c r="O21" s="98">
        <v>9.9600000000000009</v>
      </c>
      <c r="P21" s="87" t="s">
        <v>1</v>
      </c>
      <c r="X21" s="312" t="s">
        <v>340</v>
      </c>
      <c r="Y21" s="312"/>
      <c r="Z21" s="312"/>
      <c r="AA21" s="312"/>
      <c r="AB21" s="312"/>
      <c r="AC21" s="312"/>
      <c r="AD21" s="312"/>
      <c r="AE21" s="312"/>
      <c r="AO21" s="87">
        <f t="shared" si="12"/>
        <v>4.6000000000000014</v>
      </c>
      <c r="AP21" s="126" t="str">
        <f t="shared" si="2"/>
        <v>0.0001-8.28i</v>
      </c>
      <c r="AQ21" s="105" t="str">
        <f t="shared" si="3"/>
        <v>0.000001-0.528643676540556i</v>
      </c>
      <c r="AR21" s="105" t="str">
        <f t="shared" si="4"/>
        <v>0.0243176091208656+11.1861001955982i</v>
      </c>
      <c r="AS21" s="93" t="str">
        <f t="shared" si="0"/>
        <v>19.8528960862747+0.0001i</v>
      </c>
      <c r="AT21" s="87"/>
      <c r="AU21" s="87" t="str">
        <f t="shared" si="5"/>
        <v>0.0243186091208656+10.6574565190576i</v>
      </c>
      <c r="AV21" s="87" t="str">
        <f t="shared" si="6"/>
        <v>0.481729074187371+211.581379248702i</v>
      </c>
      <c r="AW21" s="87" t="str">
        <f t="shared" si="7"/>
        <v>19.8772146953956+10.6575565190576i</v>
      </c>
      <c r="AX21" s="87" t="str">
        <f t="shared" si="8"/>
        <v>4.45168671677069+8.25755916887095i</v>
      </c>
      <c r="AY21" s="87" t="str">
        <f t="shared" si="9"/>
        <v>4.45178671677069-0.0224408311290496i</v>
      </c>
      <c r="AZ21" s="87">
        <f t="shared" si="10"/>
        <v>4.6000000000000014</v>
      </c>
      <c r="BA21" s="87">
        <f t="shared" si="11"/>
        <v>4.4518432769491927</v>
      </c>
    </row>
    <row r="22" spans="2:53" ht="18" x14ac:dyDescent="0.35">
      <c r="B22" s="4" t="s">
        <v>112</v>
      </c>
      <c r="D22" s="2">
        <f>D13</f>
        <v>38.088000000000008</v>
      </c>
      <c r="E22" t="s">
        <v>3</v>
      </c>
      <c r="K22" s="22" t="s">
        <v>136</v>
      </c>
      <c r="L22" s="52" t="str">
        <f>ROUND(1000*1000/(2*3.1415*D11*D22),2)&amp;" micro-farads/Phase"</f>
        <v>69.65 micro-farads/Phase</v>
      </c>
      <c r="N22" s="87" t="s">
        <v>144</v>
      </c>
      <c r="O22" s="107">
        <f>ROUND(1000*1000/(O24*2*3.1415*O20),2)</f>
        <v>13.1</v>
      </c>
      <c r="P22" s="87" t="s">
        <v>166</v>
      </c>
      <c r="X22" s="87"/>
      <c r="Y22" s="51"/>
      <c r="Z22" s="313" t="s">
        <v>335</v>
      </c>
      <c r="AA22" s="313"/>
      <c r="AB22" s="51"/>
      <c r="AC22" s="313" t="s">
        <v>336</v>
      </c>
      <c r="AD22" s="313"/>
      <c r="AE22" s="87"/>
      <c r="AO22" s="87">
        <f t="shared" si="12"/>
        <v>4.8000000000000016</v>
      </c>
      <c r="AP22" s="126" t="str">
        <f t="shared" si="2"/>
        <v>0.0001-7.935i</v>
      </c>
      <c r="AQ22" s="105" t="str">
        <f t="shared" si="3"/>
        <v>0.000001-0.506616856684699i</v>
      </c>
      <c r="AR22" s="105" t="str">
        <f t="shared" si="4"/>
        <v>0.0243176091208656+11.6724523780155i</v>
      </c>
      <c r="AS22" s="93" t="str">
        <f t="shared" si="0"/>
        <v>19.8528960862747+0.0001i</v>
      </c>
      <c r="AT22" s="87"/>
      <c r="AU22" s="87" t="str">
        <f t="shared" si="5"/>
        <v>0.0243186091208656+11.1658355213308i</v>
      </c>
      <c r="AV22" s="87" t="str">
        <f t="shared" si="6"/>
        <v>0.481678236287144+221.674174753276i</v>
      </c>
      <c r="AW22" s="87" t="str">
        <f t="shared" si="7"/>
        <v>19.8772146953956+11.1659355213308i</v>
      </c>
      <c r="AX22" s="87" t="str">
        <f t="shared" si="8"/>
        <v>4.78041758834665+8.46679692179137i</v>
      </c>
      <c r="AY22" s="87" t="str">
        <f t="shared" si="9"/>
        <v>4.78051758834665+0.531796921791371i</v>
      </c>
      <c r="AZ22" s="87">
        <f t="shared" si="10"/>
        <v>4.8000000000000016</v>
      </c>
      <c r="BA22" s="87">
        <f t="shared" si="11"/>
        <v>4.8100058605492828</v>
      </c>
    </row>
    <row r="23" spans="2:53" ht="18" x14ac:dyDescent="0.35">
      <c r="B23" s="4" t="s">
        <v>113</v>
      </c>
      <c r="D23" s="2">
        <f>D24</f>
        <v>2.4317609120865575</v>
      </c>
      <c r="E23" t="s">
        <v>3</v>
      </c>
      <c r="K23" s="22" t="s">
        <v>137</v>
      </c>
      <c r="L23" s="52" t="str">
        <f>ROUND(1000*1000/(2*3.1415*D11*D23),2)&amp;" micro-farads/phase"</f>
        <v>1090.84 micro-farads/phase</v>
      </c>
      <c r="N23" s="87" t="s">
        <v>144</v>
      </c>
      <c r="O23" s="194">
        <f>ROUND(1000*1000/(O24*2*3.1415*O20),2)</f>
        <v>13.1</v>
      </c>
      <c r="P23" s="87" t="s">
        <v>166</v>
      </c>
      <c r="X23" s="87"/>
      <c r="Y23" s="276" t="s">
        <v>331</v>
      </c>
      <c r="Z23" s="300">
        <f>D50</f>
        <v>411.22463768115927</v>
      </c>
      <c r="AA23" s="300"/>
      <c r="AB23" s="276" t="s">
        <v>337</v>
      </c>
      <c r="AC23" s="300">
        <f>D24</f>
        <v>2.4317609120865575</v>
      </c>
      <c r="AD23" s="300"/>
      <c r="AE23" s="101" t="s">
        <v>5</v>
      </c>
      <c r="AO23" s="178">
        <f t="shared" si="12"/>
        <v>5.0000000000000018</v>
      </c>
      <c r="AP23" s="179" t="str">
        <f t="shared" si="2"/>
        <v>0.0001-7.6176i</v>
      </c>
      <c r="AQ23" s="180" t="str">
        <f t="shared" si="3"/>
        <v>0.000001-0.486352182417311i</v>
      </c>
      <c r="AR23" s="180" t="str">
        <f t="shared" si="4"/>
        <v>0.0243176091208656+12.1588045604328i</v>
      </c>
      <c r="AS23" s="181" t="str">
        <f t="shared" si="0"/>
        <v>19.8528960862747+0.0001i</v>
      </c>
      <c r="AT23" s="178"/>
      <c r="AU23" s="178" t="str">
        <f t="shared" si="5"/>
        <v>0.0243186091208656+11.6724523780155i</v>
      </c>
      <c r="AV23" s="178" t="str">
        <f t="shared" si="6"/>
        <v>0.481627574601475+231.731986564593i</v>
      </c>
      <c r="AW23" s="178" t="str">
        <f t="shared" si="7"/>
        <v>19.8772146953956+11.6725523780155i</v>
      </c>
      <c r="AX23" s="178" t="str">
        <f t="shared" si="8"/>
        <v>5.10862184517726+8.65822164395866i</v>
      </c>
      <c r="AY23" s="178" t="str">
        <f t="shared" si="9"/>
        <v>5.10872184517726+1.04062164395866i</v>
      </c>
      <c r="AZ23" s="178">
        <f t="shared" si="10"/>
        <v>5.0000000000000018</v>
      </c>
      <c r="BA23" s="178">
        <f t="shared" si="11"/>
        <v>5.2136294744895872</v>
      </c>
    </row>
    <row r="24" spans="2:53" ht="35.25" customHeight="1" x14ac:dyDescent="0.35">
      <c r="B24" s="47" t="s">
        <v>132</v>
      </c>
      <c r="D24" s="2">
        <f>D13/(D10*D10-1)</f>
        <v>2.4317609120865575</v>
      </c>
      <c r="E24" t="s">
        <v>5</v>
      </c>
      <c r="N24" s="95" t="s">
        <v>147</v>
      </c>
      <c r="O24" s="194">
        <f>O21*O21/(O19/1000)</f>
        <v>202.45224489795922</v>
      </c>
      <c r="P24" s="87" t="s">
        <v>3</v>
      </c>
      <c r="X24" s="87"/>
      <c r="Y24" s="276" t="s">
        <v>332</v>
      </c>
      <c r="Z24" s="300">
        <f>ROUND(1000*1000/(2*3.1415*D11*D23),2)</f>
        <v>1090.8399999999999</v>
      </c>
      <c r="AA24" s="301"/>
      <c r="AB24" s="276" t="s">
        <v>338</v>
      </c>
      <c r="AC24" s="331">
        <f>D26</f>
        <v>100</v>
      </c>
      <c r="AD24" s="331"/>
      <c r="AE24" s="101"/>
      <c r="AO24" s="87">
        <f t="shared" si="12"/>
        <v>5.200000000000002</v>
      </c>
      <c r="AP24" s="126" t="str">
        <f t="shared" si="2"/>
        <v>0.0001-7.32461538461538i</v>
      </c>
      <c r="AQ24" s="105" t="str">
        <f t="shared" si="3"/>
        <v>0.000001-0.467646329247415i</v>
      </c>
      <c r="AR24" s="105" t="str">
        <f t="shared" si="4"/>
        <v>0.0243176091208656+12.6451567428501i</v>
      </c>
      <c r="AS24" s="93" t="str">
        <f t="shared" si="0"/>
        <v>19.8528960862747+0.0001i</v>
      </c>
      <c r="AT24" s="87"/>
      <c r="AU24" s="87" t="str">
        <f t="shared" si="5"/>
        <v>0.0243186091208656+12.1775104136027i</v>
      </c>
      <c r="AV24" s="87" t="str">
        <f t="shared" si="6"/>
        <v>0.481577068797917+241.758851262643i</v>
      </c>
      <c r="AW24" s="87" t="str">
        <f t="shared" si="7"/>
        <v>19.8772146953956+12.1776104136027i</v>
      </c>
      <c r="AX24" s="87" t="str">
        <f t="shared" si="8"/>
        <v>5.43546034316546+8.83262245115537i</v>
      </c>
      <c r="AY24" s="87" t="str">
        <f t="shared" si="9"/>
        <v>5.43556034316546+1.50800706653999i</v>
      </c>
      <c r="AZ24" s="87">
        <f t="shared" si="10"/>
        <v>5.200000000000002</v>
      </c>
      <c r="BA24" s="87">
        <f t="shared" si="11"/>
        <v>5.6408688654255696</v>
      </c>
    </row>
    <row r="25" spans="2:53" ht="29.25" customHeight="1" x14ac:dyDescent="0.25">
      <c r="B25" s="49" t="s">
        <v>114</v>
      </c>
      <c r="C25" s="48"/>
      <c r="D25" s="25">
        <f>1000*D24/(2*3.1415*D11)</f>
        <v>6.4506364053439373</v>
      </c>
      <c r="E25" s="16" t="s">
        <v>9</v>
      </c>
      <c r="N25" s="195" t="s">
        <v>223</v>
      </c>
      <c r="O25" s="89">
        <f>O19/O21</f>
        <v>49.196787148594375</v>
      </c>
      <c r="P25" s="195" t="s">
        <v>53</v>
      </c>
      <c r="X25" s="87"/>
      <c r="Y25" s="276" t="s">
        <v>333</v>
      </c>
      <c r="Z25" s="300">
        <f>D49</f>
        <v>1</v>
      </c>
      <c r="AA25" s="300"/>
      <c r="AB25" s="276" t="s">
        <v>339</v>
      </c>
      <c r="AC25" s="314">
        <f>D15</f>
        <v>231.22742289704931</v>
      </c>
      <c r="AD25" s="314"/>
      <c r="AE25" s="101" t="s">
        <v>215</v>
      </c>
      <c r="AO25" s="87">
        <f t="shared" si="12"/>
        <v>5.4000000000000021</v>
      </c>
      <c r="AP25" s="126" t="str">
        <f t="shared" si="2"/>
        <v>0.0001-7.05333333333333i</v>
      </c>
      <c r="AQ25" s="105" t="str">
        <f t="shared" si="3"/>
        <v>0.000001-0.450326094830844i</v>
      </c>
      <c r="AR25" s="105" t="str">
        <f t="shared" si="4"/>
        <v>0.0243176091208656+13.1315089252674i</v>
      </c>
      <c r="AS25" s="93" t="str">
        <f t="shared" si="0"/>
        <v>19.8528960862747+0.0001i</v>
      </c>
      <c r="AT25" s="87"/>
      <c r="AU25" s="87" t="str">
        <f t="shared" si="5"/>
        <v>0.0243186091208656+12.6811828304366i</v>
      </c>
      <c r="AV25" s="87" t="str">
        <f t="shared" si="6"/>
        <v>0.481526701556233+251.75820741557i</v>
      </c>
      <c r="AW25" s="87" t="str">
        <f t="shared" si="7"/>
        <v>19.8772146953956+12.6812828304366i</v>
      </c>
      <c r="AX25" s="87" t="str">
        <f t="shared" si="8"/>
        <v>5.7601750556653+8.99078674353956i</v>
      </c>
      <c r="AY25" s="87" t="str">
        <f t="shared" si="9"/>
        <v>5.7602750556653+1.93745341020623i</v>
      </c>
      <c r="AZ25" s="87">
        <f t="shared" si="10"/>
        <v>5.4000000000000021</v>
      </c>
      <c r="BA25" s="87">
        <f t="shared" si="11"/>
        <v>6.077375620581603</v>
      </c>
    </row>
    <row r="26" spans="2:53" ht="30" customHeight="1" x14ac:dyDescent="0.25">
      <c r="B26" s="73" t="s">
        <v>150</v>
      </c>
      <c r="C26" s="48"/>
      <c r="D26" s="185">
        <v>100</v>
      </c>
      <c r="E26" s="50" t="s">
        <v>133</v>
      </c>
      <c r="X26" s="87"/>
      <c r="Y26" s="276" t="s">
        <v>334</v>
      </c>
      <c r="Z26" s="300">
        <f>1.1*Z25</f>
        <v>1.1000000000000001</v>
      </c>
      <c r="AA26" s="300"/>
      <c r="AB26" s="46"/>
      <c r="AC26" s="101"/>
      <c r="AD26" s="101"/>
      <c r="AE26" s="87"/>
      <c r="AO26" s="87">
        <f t="shared" si="12"/>
        <v>5.6000000000000023</v>
      </c>
      <c r="AP26" s="126" t="str">
        <f t="shared" si="2"/>
        <v>0.0001-6.80142857142857i</v>
      </c>
      <c r="AQ26" s="105" t="str">
        <f t="shared" si="3"/>
        <v>0.000001-0.434243020015457i</v>
      </c>
      <c r="AR26" s="105" t="str">
        <f t="shared" si="4"/>
        <v>0.0243176091208656+13.6178611076847i</v>
      </c>
      <c r="AS26" s="93" t="str">
        <f t="shared" si="0"/>
        <v>19.8528960862747+0.0001i</v>
      </c>
      <c r="AT26" s="87"/>
      <c r="AU26" s="87" t="str">
        <f t="shared" si="5"/>
        <v>0.0243186091208656+13.1836180876692i</v>
      </c>
      <c r="AV26" s="87" t="str">
        <f t="shared" si="6"/>
        <v>0.48147645803051+261.733002367489i</v>
      </c>
      <c r="AW26" s="87" t="str">
        <f t="shared" si="7"/>
        <v>19.8772146953956+13.1837180876692i</v>
      </c>
      <c r="AX26" s="87" t="str">
        <f t="shared" si="8"/>
        <v>6.08208622268674+9.13349757522841i</v>
      </c>
      <c r="AY26" s="87" t="str">
        <f t="shared" si="9"/>
        <v>6.08218622268674+2.33206900379984i</v>
      </c>
      <c r="AZ26" s="87">
        <f t="shared" si="10"/>
        <v>5.6000000000000023</v>
      </c>
      <c r="BA26" s="87">
        <f t="shared" si="11"/>
        <v>6.5139492695233958</v>
      </c>
    </row>
    <row r="27" spans="2:53" x14ac:dyDescent="0.25">
      <c r="Y27" s="91"/>
      <c r="AB27" s="91"/>
      <c r="AO27" s="87">
        <f t="shared" si="12"/>
        <v>5.8000000000000025</v>
      </c>
      <c r="AP27" s="126" t="str">
        <f t="shared" si="2"/>
        <v>0.0001-6.56689655172414i</v>
      </c>
      <c r="AQ27" s="105" t="str">
        <f t="shared" si="3"/>
        <v>0.000001-0.419269122773544i</v>
      </c>
      <c r="AR27" s="105" t="str">
        <f t="shared" si="4"/>
        <v>0.0243176091208656+14.104213290102i</v>
      </c>
      <c r="AS27" s="93" t="str">
        <f t="shared" si="0"/>
        <v>19.8528960862747+0.0001i</v>
      </c>
      <c r="AT27" s="87"/>
      <c r="AU27" s="87" t="str">
        <f t="shared" si="5"/>
        <v>0.0243186091208656+13.6849441673285i</v>
      </c>
      <c r="AV27" s="87" t="str">
        <f t="shared" si="6"/>
        <v>0.481426325422544+271.685776932305i</v>
      </c>
      <c r="AW27" s="87" t="str">
        <f t="shared" si="7"/>
        <v>19.8772146953956+13.6850441673285i</v>
      </c>
      <c r="AX27" s="87" t="str">
        <f t="shared" si="8"/>
        <v>6.40058903526091+9.26153065753647i</v>
      </c>
      <c r="AY27" s="87" t="str">
        <f t="shared" si="9"/>
        <v>6.40068903526091+2.69463410581233i</v>
      </c>
      <c r="AZ27" s="87">
        <f t="shared" si="10"/>
        <v>5.8000000000000025</v>
      </c>
      <c r="BA27" s="87">
        <f t="shared" si="11"/>
        <v>6.9447730769490406</v>
      </c>
    </row>
    <row r="28" spans="2:53" ht="21" x14ac:dyDescent="0.35">
      <c r="B28" s="286" t="s">
        <v>89</v>
      </c>
      <c r="C28" s="286"/>
      <c r="D28" s="286"/>
      <c r="E28" s="286"/>
      <c r="F28" s="286"/>
      <c r="G28" s="286"/>
      <c r="H28" s="286"/>
      <c r="I28" s="286"/>
      <c r="J28" s="286"/>
      <c r="K28" s="286"/>
      <c r="L28" s="286"/>
      <c r="Y28" s="91"/>
      <c r="AB28" s="91"/>
      <c r="AO28" s="87">
        <f t="shared" si="12"/>
        <v>6.0000000000000027</v>
      </c>
      <c r="AP28" s="126" t="str">
        <f t="shared" si="2"/>
        <v>0.0001-6.348i</v>
      </c>
      <c r="AQ28" s="105" t="str">
        <f t="shared" si="3"/>
        <v>0.000001-0.405293485347759i</v>
      </c>
      <c r="AR28" s="105" t="str">
        <f t="shared" si="4"/>
        <v>0.0243176091208656+14.5905654725194i</v>
      </c>
      <c r="AS28" s="93" t="str">
        <f t="shared" si="0"/>
        <v>19.8528960862747+0.0001i</v>
      </c>
      <c r="AT28" s="87"/>
      <c r="AU28" s="87" t="str">
        <f t="shared" si="5"/>
        <v>0.0243186091208656+14.1852719871716i</v>
      </c>
      <c r="AV28" s="87" t="str">
        <f t="shared" si="6"/>
        <v>0.48137629264056+281.618733148722i</v>
      </c>
      <c r="AW28" s="87" t="str">
        <f t="shared" si="7"/>
        <v>19.8772146953956+14.1853719871716i</v>
      </c>
      <c r="AX28" s="87" t="str">
        <f t="shared" si="8"/>
        <v>6.71514994599425+9.37565127061426i</v>
      </c>
      <c r="AY28" s="87" t="str">
        <f t="shared" si="9"/>
        <v>6.71524994599425+3.02765127061426i</v>
      </c>
      <c r="AZ28" s="87">
        <f t="shared" si="10"/>
        <v>6.0000000000000027</v>
      </c>
      <c r="BA28" s="87">
        <f t="shared" si="11"/>
        <v>7.3662238666516187</v>
      </c>
    </row>
    <row r="29" spans="2:53" ht="21.75" customHeight="1" x14ac:dyDescent="0.35">
      <c r="B29" s="4" t="s">
        <v>115</v>
      </c>
      <c r="D29" s="26">
        <v>9.9600000000000009</v>
      </c>
      <c r="E29" t="s">
        <v>1</v>
      </c>
      <c r="Y29" s="106"/>
      <c r="Z29" s="313" t="s">
        <v>342</v>
      </c>
      <c r="AA29" s="313"/>
      <c r="AB29" s="91"/>
      <c r="AO29" s="87">
        <f t="shared" si="12"/>
        <v>6.2000000000000028</v>
      </c>
      <c r="AP29" s="126" t="str">
        <f t="shared" si="2"/>
        <v>0.0001-6.14322580645161i</v>
      </c>
      <c r="AQ29" s="105" t="str">
        <f t="shared" si="3"/>
        <v>0.000001-0.392219501949445i</v>
      </c>
      <c r="AR29" s="105" t="str">
        <f t="shared" si="4"/>
        <v>0.0243176091208656+15.0769176549367i</v>
      </c>
      <c r="AS29" s="93" t="str">
        <f t="shared" si="0"/>
        <v>19.8528960862747+0.0001i</v>
      </c>
      <c r="AT29" s="87"/>
      <c r="AU29" s="87" t="str">
        <f t="shared" si="5"/>
        <v>0.0243186091208656+14.6846981529873i</v>
      </c>
      <c r="AV29" s="87" t="str">
        <f t="shared" si="6"/>
        <v>0.481326350023978+291.533788921428i</v>
      </c>
      <c r="AW29" s="87" t="str">
        <f t="shared" si="7"/>
        <v>19.8772146953956+14.6847981529873i</v>
      </c>
      <c r="AX29" s="87" t="str">
        <f t="shared" si="8"/>
        <v>7.02530269880945+9.47661127136733i</v>
      </c>
      <c r="AY29" s="87" t="str">
        <f t="shared" si="9"/>
        <v>7.02540269880945+3.33338546491572i</v>
      </c>
      <c r="AZ29" s="87">
        <f t="shared" si="10"/>
        <v>6.2000000000000028</v>
      </c>
      <c r="BA29" s="87">
        <f t="shared" si="11"/>
        <v>7.7761006769556733</v>
      </c>
    </row>
    <row r="30" spans="2:53" ht="21.75" customHeight="1" x14ac:dyDescent="0.35">
      <c r="B30" s="4" t="s">
        <v>72</v>
      </c>
      <c r="D30" s="5">
        <f>1000*(D29*D29)/D22</f>
        <v>2604.5368620037807</v>
      </c>
      <c r="E30" t="s">
        <v>11</v>
      </c>
      <c r="Y30" s="276" t="s">
        <v>331</v>
      </c>
      <c r="Z30" s="300">
        <f>D30</f>
        <v>2604.5368620037807</v>
      </c>
      <c r="AA30" s="300"/>
      <c r="AB30" s="91"/>
      <c r="AO30" s="87">
        <f t="shared" si="12"/>
        <v>6.400000000000003</v>
      </c>
      <c r="AP30" s="126" t="str">
        <f t="shared" si="2"/>
        <v>0.0001-5.95125i</v>
      </c>
      <c r="AQ30" s="105" t="str">
        <f t="shared" si="3"/>
        <v>0.000001-0.379962642513524i</v>
      </c>
      <c r="AR30" s="105" t="str">
        <f t="shared" si="4"/>
        <v>0.0243176091208656+15.563269837354i</v>
      </c>
      <c r="AS30" s="93" t="str">
        <f t="shared" si="0"/>
        <v>19.8528960862747+0.0001i</v>
      </c>
      <c r="AT30" s="87"/>
      <c r="AU30" s="87" t="str">
        <f t="shared" si="5"/>
        <v>0.0243186091208656+15.1833071948405i</v>
      </c>
      <c r="AV30" s="87" t="str">
        <f t="shared" si="6"/>
        <v>0.481276489119793+301.432622417016i</v>
      </c>
      <c r="AW30" s="87" t="str">
        <f t="shared" si="7"/>
        <v>19.8772146953956+15.1834071948405i</v>
      </c>
      <c r="AX30" s="87" t="str">
        <f t="shared" si="8"/>
        <v>7.33064416720524+9.56514632152654i</v>
      </c>
      <c r="AY30" s="87" t="str">
        <f t="shared" si="9"/>
        <v>7.33074416720524+3.61389632152654i</v>
      </c>
      <c r="AZ30" s="87">
        <f t="shared" si="10"/>
        <v>6.400000000000003</v>
      </c>
      <c r="BA30" s="87">
        <f t="shared" si="11"/>
        <v>8.1731301633925248</v>
      </c>
    </row>
    <row r="31" spans="2:53" ht="18" customHeight="1" x14ac:dyDescent="0.35">
      <c r="B31" s="12" t="s">
        <v>197</v>
      </c>
      <c r="D31" s="160">
        <v>5</v>
      </c>
      <c r="J31" s="22" t="s">
        <v>87</v>
      </c>
      <c r="K31" s="21">
        <f>(D29*D29)/D32*1000</f>
        <v>190.44000000000003</v>
      </c>
      <c r="L31" t="s">
        <v>135</v>
      </c>
      <c r="Y31" s="276" t="s">
        <v>332</v>
      </c>
      <c r="Z31" s="300">
        <f>ROUND(1000*1000/(2*3.1415*D11*D22),2)</f>
        <v>69.650000000000006</v>
      </c>
      <c r="AA31" s="301"/>
      <c r="AB31" s="91"/>
      <c r="AO31" s="87">
        <f t="shared" si="12"/>
        <v>6.6000000000000032</v>
      </c>
      <c r="AP31" s="126" t="str">
        <f t="shared" si="2"/>
        <v>0.0001-5.77090909090909i</v>
      </c>
      <c r="AQ31" s="105" t="str">
        <f t="shared" si="3"/>
        <v>0.000001-0.368448623043418i</v>
      </c>
      <c r="AR31" s="105" t="str">
        <f t="shared" si="4"/>
        <v>0.0243176091208656+16.0496220197713i</v>
      </c>
      <c r="AS31" s="93" t="str">
        <f t="shared" si="0"/>
        <v>19.8528960862747+0.0001i</v>
      </c>
      <c r="AT31" s="87"/>
      <c r="AU31" s="87" t="str">
        <f t="shared" si="5"/>
        <v>0.0243186091208656+15.6811733967279i</v>
      </c>
      <c r="AV31" s="87" t="str">
        <f t="shared" si="6"/>
        <v>0.481226702499604+311.316708387955i</v>
      </c>
      <c r="AW31" s="87" t="str">
        <f t="shared" si="7"/>
        <v>19.8772146953956+15.6812733967279i</v>
      </c>
      <c r="AX31" s="87" t="str">
        <f t="shared" si="8"/>
        <v>7.63083008324444+9.64197341255354i</v>
      </c>
      <c r="AY31" s="87" t="str">
        <f t="shared" si="9"/>
        <v>7.63093008324444+3.87106432164445i</v>
      </c>
      <c r="AZ31" s="87">
        <f t="shared" si="10"/>
        <v>6.6000000000000032</v>
      </c>
      <c r="BA31" s="87">
        <f t="shared" si="11"/>
        <v>8.5566484629014408</v>
      </c>
    </row>
    <row r="32" spans="2:53" x14ac:dyDescent="0.25">
      <c r="B32" s="4" t="s">
        <v>156</v>
      </c>
      <c r="D32" s="5">
        <f>D30/D31</f>
        <v>520.90737240075612</v>
      </c>
      <c r="E32" t="s">
        <v>11</v>
      </c>
      <c r="J32" s="22" t="s">
        <v>88</v>
      </c>
      <c r="K32" s="21">
        <f>1000*1000/(2*3.1415*$D$11*K31)</f>
        <v>13.929114779460489</v>
      </c>
      <c r="L32" t="s">
        <v>134</v>
      </c>
      <c r="Y32" s="276" t="s">
        <v>333</v>
      </c>
      <c r="Z32" s="300">
        <f>D29</f>
        <v>9.9600000000000009</v>
      </c>
      <c r="AA32" s="300"/>
      <c r="AB32" s="91"/>
      <c r="AC32" s="311" t="s">
        <v>323</v>
      </c>
      <c r="AD32" s="311"/>
      <c r="AO32" s="87">
        <f t="shared" ref="AO32:AO97" si="13">AO31+0.2</f>
        <v>6.8000000000000034</v>
      </c>
      <c r="AP32" s="126" t="str">
        <f t="shared" si="2"/>
        <v>0.0001-5.60117647058823i</v>
      </c>
      <c r="AQ32" s="105" t="str">
        <f t="shared" si="3"/>
        <v>0.000001-0.357611898836258i</v>
      </c>
      <c r="AR32" s="105" t="str">
        <f t="shared" si="4"/>
        <v>0.0243176091208656+16.5359742021886i</v>
      </c>
      <c r="AS32" s="93" t="str">
        <f t="shared" si="0"/>
        <v>19.8528960862747+0.0001i</v>
      </c>
      <c r="AT32" s="87"/>
      <c r="AU32" s="87" t="str">
        <f t="shared" si="5"/>
        <v>0.0243186091208656+16.1783623033523i</v>
      </c>
      <c r="AV32" s="87" t="str">
        <f t="shared" si="6"/>
        <v>0.481176983608942+321.187348086418i</v>
      </c>
      <c r="AW32" s="87" t="str">
        <f t="shared" si="7"/>
        <v>19.8772146953956+16.1784623033523i</v>
      </c>
      <c r="AX32" s="87" t="str">
        <f t="shared" si="8"/>
        <v>7.92557073038867+9.70778872942249i</v>
      </c>
      <c r="AY32" s="87" t="str">
        <f t="shared" si="9"/>
        <v>7.92567073038867+4.10661225883426i</v>
      </c>
      <c r="AZ32" s="87">
        <f t="shared" si="10"/>
        <v>6.8000000000000034</v>
      </c>
      <c r="BA32" s="87">
        <f t="shared" si="11"/>
        <v>8.9263946121010971</v>
      </c>
    </row>
    <row r="33" spans="2:53" ht="36.75" customHeight="1" x14ac:dyDescent="0.25">
      <c r="B33" s="242" t="s">
        <v>158</v>
      </c>
      <c r="D33" s="25">
        <f>D14/D31</f>
        <v>41.886571165284408</v>
      </c>
      <c r="E33" s="16" t="s">
        <v>12</v>
      </c>
      <c r="Y33" s="276" t="s">
        <v>334</v>
      </c>
      <c r="Z33" s="301">
        <f>1.1*Z32</f>
        <v>10.956000000000001</v>
      </c>
      <c r="AA33" s="301"/>
      <c r="AB33" s="277" t="s">
        <v>343</v>
      </c>
      <c r="AC33" s="300">
        <f>D17</f>
        <v>19.852896086274654</v>
      </c>
      <c r="AD33" s="300"/>
      <c r="AO33" s="87">
        <f t="shared" si="13"/>
        <v>7.0000000000000036</v>
      </c>
      <c r="AP33" s="126" t="str">
        <f t="shared" si="2"/>
        <v>0.0001-5.44114285714286i</v>
      </c>
      <c r="AQ33" s="105" t="str">
        <f t="shared" si="3"/>
        <v>0.000001-0.347394416012365i</v>
      </c>
      <c r="AR33" s="105" t="str">
        <f t="shared" si="4"/>
        <v>0.0243176091208656+17.0223263846059i</v>
      </c>
      <c r="AS33" s="93" t="str">
        <f t="shared" si="0"/>
        <v>19.8528960862747+0.0001i</v>
      </c>
      <c r="AT33" s="87"/>
      <c r="AU33" s="87" t="str">
        <f t="shared" si="5"/>
        <v>0.0243186091208656+16.6749319685935i</v>
      </c>
      <c r="AV33" s="87" t="str">
        <f t="shared" si="6"/>
        <v>0.481127326642418+331.045694050048i</v>
      </c>
      <c r="AW33" s="87" t="str">
        <f t="shared" si="7"/>
        <v>19.8772146953956+16.6750319685935i</v>
      </c>
      <c r="AX33" s="87" t="str">
        <f t="shared" si="8"/>
        <v>8.21462666331637+9.76326587014935i</v>
      </c>
      <c r="AY33" s="87" t="str">
        <f t="shared" si="9"/>
        <v>8.21472666331637+4.32212301300649i</v>
      </c>
      <c r="AZ33" s="87">
        <f t="shared" si="10"/>
        <v>7.0000000000000036</v>
      </c>
      <c r="BA33" s="87">
        <f t="shared" si="11"/>
        <v>9.2823747765623636</v>
      </c>
    </row>
    <row r="34" spans="2:53" ht="38.25" customHeight="1" x14ac:dyDescent="0.25">
      <c r="B34" s="81" t="s">
        <v>199</v>
      </c>
      <c r="D34" s="14">
        <f>1.8*D33</f>
        <v>75.395828097511938</v>
      </c>
      <c r="E34" s="16" t="s">
        <v>12</v>
      </c>
      <c r="AO34" s="87">
        <f t="shared" si="13"/>
        <v>7.2000000000000037</v>
      </c>
      <c r="AP34" s="126" t="str">
        <f t="shared" si="2"/>
        <v>0.0001-5.29i</v>
      </c>
      <c r="AQ34" s="105" t="str">
        <f t="shared" si="3"/>
        <v>0.000001-0.337744571123133i</v>
      </c>
      <c r="AR34" s="105" t="str">
        <f t="shared" si="4"/>
        <v>0.0243176091208656+17.5086785670232i</v>
      </c>
      <c r="AS34" s="93" t="str">
        <f t="shared" si="0"/>
        <v>19.8528960862747+0.0001i</v>
      </c>
      <c r="AT34" s="87"/>
      <c r="AU34" s="87" t="str">
        <f t="shared" si="5"/>
        <v>0.0243186091208656+17.1709339959001i</v>
      </c>
      <c r="AV34" s="87" t="str">
        <f t="shared" si="6"/>
        <v>0.481077726439687+340.892770756747i</v>
      </c>
      <c r="AW34" s="87" t="str">
        <f t="shared" si="7"/>
        <v>19.8772146953956+17.1710339959001i</v>
      </c>
      <c r="AX34" s="87" t="str">
        <f t="shared" si="8"/>
        <v>8.49780450770823+9.80905441996059i</v>
      </c>
      <c r="AY34" s="87" t="str">
        <f t="shared" si="9"/>
        <v>8.49790450770823+4.51905441996059i</v>
      </c>
      <c r="AZ34" s="87">
        <f t="shared" si="10"/>
        <v>7.2000000000000037</v>
      </c>
      <c r="BA34" s="87">
        <f t="shared" si="11"/>
        <v>9.6247718867874053</v>
      </c>
    </row>
    <row r="35" spans="2:53" ht="21.75" customHeight="1" x14ac:dyDescent="0.25">
      <c r="B35" s="46" t="s">
        <v>74</v>
      </c>
      <c r="C35" s="16"/>
      <c r="D35" s="25">
        <f>D14*D22/1000</f>
        <v>7.9768786127167637</v>
      </c>
      <c r="E35" s="16" t="s">
        <v>1</v>
      </c>
      <c r="AO35" s="87">
        <f t="shared" si="13"/>
        <v>7.4000000000000039</v>
      </c>
      <c r="AP35" s="126" t="str">
        <f t="shared" si="2"/>
        <v>0.0001-5.14702702702703i</v>
      </c>
      <c r="AQ35" s="105" t="str">
        <f t="shared" si="3"/>
        <v>0.000001-0.328616339471156i</v>
      </c>
      <c r="AR35" s="105" t="str">
        <f t="shared" si="4"/>
        <v>0.0243176091208656+17.9950307494405i</v>
      </c>
      <c r="AS35" s="93" t="str">
        <f t="shared" si="0"/>
        <v>19.8528960862747+0.0001i</v>
      </c>
      <c r="AT35" s="87"/>
      <c r="AU35" s="87" t="str">
        <f t="shared" si="5"/>
        <v>0.0243186091208656+17.6664144099693i</v>
      </c>
      <c r="AV35" s="87" t="str">
        <f t="shared" si="6"/>
        <v>0.48102817839828+350.729491930047i</v>
      </c>
      <c r="AW35" s="87" t="str">
        <f t="shared" si="7"/>
        <v>19.8772146953956+17.6665144099693i</v>
      </c>
      <c r="AX35" s="87" t="str">
        <f t="shared" si="8"/>
        <v>8.77495288316899+9.84577886649654i</v>
      </c>
      <c r="AY35" s="87" t="str">
        <f t="shared" si="9"/>
        <v>8.77505288316899+4.69875183946951i</v>
      </c>
      <c r="AZ35" s="87">
        <f t="shared" si="10"/>
        <v>7.4000000000000039</v>
      </c>
      <c r="BA35" s="87">
        <f t="shared" si="11"/>
        <v>9.9538847668300097</v>
      </c>
    </row>
    <row r="36" spans="2:53" ht="25.5" customHeight="1" x14ac:dyDescent="0.25">
      <c r="B36" s="46" t="s">
        <v>77</v>
      </c>
      <c r="C36" s="16"/>
      <c r="D36" s="25">
        <f>(SQRT(SUM(S75:Z75)+SUM(S81:Z81)))/1000</f>
        <v>8.0117346236026297</v>
      </c>
      <c r="E36" s="16" t="s">
        <v>1</v>
      </c>
      <c r="AO36" s="87">
        <f t="shared" si="13"/>
        <v>7.6000000000000041</v>
      </c>
      <c r="AP36" s="126" t="str">
        <f t="shared" si="2"/>
        <v>0.0001-5.01157894736842i</v>
      </c>
      <c r="AQ36" s="105" t="str">
        <f t="shared" si="3"/>
        <v>0.000001-0.319968541064021i</v>
      </c>
      <c r="AR36" s="105" t="str">
        <f t="shared" si="4"/>
        <v>0.0243176091208656+18.4813829318578i</v>
      </c>
      <c r="AS36" s="93" t="str">
        <f t="shared" si="0"/>
        <v>19.8528960862747+0.0001i</v>
      </c>
      <c r="AT36" s="87"/>
      <c r="AU36" s="87" t="str">
        <f t="shared" si="5"/>
        <v>0.0243186091208656+18.1614143907938i</v>
      </c>
      <c r="AV36" s="87" t="str">
        <f t="shared" si="6"/>
        <v>0.480978678400198+360.556675112064i</v>
      </c>
      <c r="AW36" s="87" t="str">
        <f t="shared" si="7"/>
        <v>19.8772146953956+18.1615143907938i</v>
      </c>
      <c r="AX36" s="87" t="str">
        <f t="shared" si="8"/>
        <v>9.0459584832908+9.87403783411963i</v>
      </c>
      <c r="AY36" s="87" t="str">
        <f t="shared" si="9"/>
        <v>9.0460584832908+4.86245888675121i</v>
      </c>
      <c r="AZ36" s="87">
        <f t="shared" si="10"/>
        <v>7.6000000000000041</v>
      </c>
      <c r="BA36" s="87">
        <f t="shared" si="11"/>
        <v>10.27008668456422</v>
      </c>
    </row>
    <row r="37" spans="2:53" ht="33" customHeight="1" x14ac:dyDescent="0.25">
      <c r="B37" s="46" t="s">
        <v>79</v>
      </c>
      <c r="C37" s="16"/>
      <c r="D37" s="24">
        <f>(1.414*(SUM(D77:K77)+SUM(D83:K83)))/1000</f>
        <v>12.334892425581506</v>
      </c>
      <c r="E37" s="16" t="s">
        <v>1</v>
      </c>
      <c r="AO37" s="87">
        <f t="shared" si="13"/>
        <v>7.8000000000000043</v>
      </c>
      <c r="AP37" s="126" t="str">
        <f t="shared" si="2"/>
        <v>0.0001-4.88307692307692i</v>
      </c>
      <c r="AQ37" s="105" t="str">
        <f t="shared" si="3"/>
        <v>0.000001-0.311764219498276i</v>
      </c>
      <c r="AR37" s="105" t="str">
        <f t="shared" si="4"/>
        <v>0.0243176091208656+18.9677351142752i</v>
      </c>
      <c r="AS37" s="93" t="str">
        <f t="shared" si="0"/>
        <v>19.8528960862747+0.0001i</v>
      </c>
      <c r="AT37" s="87"/>
      <c r="AU37" s="87" t="str">
        <f t="shared" si="5"/>
        <v>0.0243186091208656+18.6559708947769i</v>
      </c>
      <c r="AV37" s="87" t="str">
        <f t="shared" si="6"/>
        <v>0.480929222749799+370.375053994432i</v>
      </c>
      <c r="AW37" s="87" t="str">
        <f t="shared" si="7"/>
        <v>19.8772146953956+18.6560708947769i</v>
      </c>
      <c r="AX37" s="87" t="str">
        <f t="shared" si="8"/>
        <v>9.31074233854658+9.89440361023338i</v>
      </c>
      <c r="AY37" s="87" t="str">
        <f t="shared" si="9"/>
        <v>9.31084233854658+5.01132668715646i</v>
      </c>
      <c r="AZ37" s="87">
        <f t="shared" si="10"/>
        <v>7.8000000000000043</v>
      </c>
      <c r="BA37" s="87">
        <f t="shared" si="11"/>
        <v>10.573796868612433</v>
      </c>
    </row>
    <row r="38" spans="2:53" ht="33.75" customHeight="1" x14ac:dyDescent="0.25">
      <c r="B38" s="46" t="s">
        <v>116</v>
      </c>
      <c r="C38" s="16"/>
      <c r="D38" s="25">
        <f>SQRT(SUM(S76:Z76,S82:Z82))/D31</f>
        <v>46.245484579409862</v>
      </c>
      <c r="E38" s="16" t="s">
        <v>12</v>
      </c>
      <c r="X38" s="311" t="s">
        <v>351</v>
      </c>
      <c r="Y38" s="311"/>
      <c r="Z38" s="311"/>
      <c r="AA38" s="311"/>
      <c r="AB38" s="311"/>
      <c r="AC38" s="311"/>
      <c r="AD38" s="311"/>
      <c r="AE38" s="311"/>
      <c r="AO38" s="87">
        <f t="shared" si="13"/>
        <v>8.0000000000000036</v>
      </c>
      <c r="AP38" s="126" t="str">
        <f t="shared" si="2"/>
        <v>0.0001-4.761i</v>
      </c>
      <c r="AQ38" s="105" t="str">
        <f t="shared" si="3"/>
        <v>0.000001-0.30397011401082i</v>
      </c>
      <c r="AR38" s="105" t="str">
        <f t="shared" si="4"/>
        <v>0.0243176091208656+19.4540872966925i</v>
      </c>
      <c r="AS38" s="93" t="str">
        <f t="shared" si="0"/>
        <v>19.8528960862747+0.0001i</v>
      </c>
      <c r="AT38" s="87"/>
      <c r="AU38" s="87" t="str">
        <f t="shared" si="5"/>
        <v>0.0243186091208656+19.1501171826817i</v>
      </c>
      <c r="AV38" s="87" t="str">
        <f t="shared" si="6"/>
        <v>0.480879808121009+380.185288899624i</v>
      </c>
      <c r="AW38" s="87" t="str">
        <f t="shared" si="7"/>
        <v>19.8772146953956+19.1502171826817i</v>
      </c>
      <c r="AX38" s="87" t="str">
        <f t="shared" si="8"/>
        <v>9.56925628033198+9.90742193372513i</v>
      </c>
      <c r="AY38" s="87" t="str">
        <f t="shared" si="9"/>
        <v>9.56935628033198+5.14642193372513i</v>
      </c>
      <c r="AZ38" s="87">
        <f t="shared" si="10"/>
        <v>8.0000000000000036</v>
      </c>
      <c r="BA38" s="87">
        <f t="shared" si="11"/>
        <v>10.865460797400919</v>
      </c>
    </row>
    <row r="39" spans="2:53" ht="27.75" customHeight="1" x14ac:dyDescent="0.25">
      <c r="B39" s="53" t="s">
        <v>117</v>
      </c>
      <c r="C39" s="54"/>
      <c r="D39" s="55">
        <f>1*(SUM(S77:Z77)+SUM(S83:Z83))</f>
        <v>1743.7798988419795</v>
      </c>
      <c r="E39" s="54" t="s">
        <v>11</v>
      </c>
      <c r="F39" s="10"/>
      <c r="G39" s="10"/>
      <c r="H39" s="10"/>
      <c r="I39" s="10"/>
      <c r="J39" s="10"/>
      <c r="K39" s="10"/>
      <c r="L39" s="10"/>
      <c r="AO39" s="87">
        <f t="shared" si="13"/>
        <v>8.2000000000000028</v>
      </c>
      <c r="AP39" s="126" t="str">
        <f t="shared" si="2"/>
        <v>0.0001-4.64487804878049i</v>
      </c>
      <c r="AQ39" s="105" t="str">
        <f t="shared" si="3"/>
        <v>0.000001-0.296556208791043i</v>
      </c>
      <c r="AR39" s="105" t="str">
        <f t="shared" si="4"/>
        <v>0.0243176091208656+19.9404394791098i</v>
      </c>
      <c r="AS39" s="93" t="str">
        <f t="shared" si="0"/>
        <v>19.8528960862747+0.0001i</v>
      </c>
      <c r="AT39" s="87"/>
      <c r="AU39" s="87" t="str">
        <f t="shared" si="5"/>
        <v>0.0243186091208656+19.6438832703188i</v>
      </c>
      <c r="AV39" s="87" t="str">
        <f t="shared" si="6"/>
        <v>0.480830431512245+389.98797572841i</v>
      </c>
      <c r="AW39" s="87" t="str">
        <f t="shared" si="7"/>
        <v>19.8772146953956+19.6439832703188i</v>
      </c>
      <c r="AX39" s="87" t="str">
        <f t="shared" si="8"/>
        <v>9.82147961807312+9.9136120146074i</v>
      </c>
      <c r="AY39" s="87" t="str">
        <f t="shared" si="9"/>
        <v>9.82157961807312+5.26873396582691i</v>
      </c>
      <c r="AZ39" s="87">
        <f t="shared" si="10"/>
        <v>8.2000000000000028</v>
      </c>
      <c r="BA39" s="87">
        <f t="shared" si="11"/>
        <v>11.145536496589452</v>
      </c>
    </row>
    <row r="40" spans="2:53" ht="27.75" customHeight="1" x14ac:dyDescent="0.25">
      <c r="B40" s="27"/>
      <c r="C40" s="16"/>
      <c r="D40" s="24"/>
      <c r="E40" s="16"/>
      <c r="AO40" s="87">
        <f t="shared" si="13"/>
        <v>8.4000000000000021</v>
      </c>
      <c r="AP40" s="126" t="str">
        <f t="shared" si="2"/>
        <v>0.0001-4.53428571428571i</v>
      </c>
      <c r="AQ40" s="105" t="str">
        <f t="shared" si="3"/>
        <v>0.000001-0.289495346676971i</v>
      </c>
      <c r="AR40" s="105" t="str">
        <f t="shared" si="4"/>
        <v>0.0243176091208656+20.4267916615271i</v>
      </c>
      <c r="AS40" s="93" t="str">
        <f t="shared" si="0"/>
        <v>19.8528960862747+0.0001i</v>
      </c>
      <c r="AT40" s="87"/>
      <c r="AU40" s="87" t="str">
        <f t="shared" si="5"/>
        <v>0.0243186091208656+20.1372963148501i</v>
      </c>
      <c r="AV40" s="87" t="str">
        <f t="shared" si="6"/>
        <v>0.480781090207792+399.783653629102i</v>
      </c>
      <c r="AW40" s="87" t="str">
        <f t="shared" si="7"/>
        <v>19.8772146953956+20.1373963148501i</v>
      </c>
      <c r="AX40" s="87" t="str">
        <f t="shared" si="8"/>
        <v>10.0674160358742+9.91346675416607i</v>
      </c>
      <c r="AY40" s="87" t="str">
        <f t="shared" si="9"/>
        <v>10.0675160358742+5.37918103988036i</v>
      </c>
      <c r="AZ40" s="87">
        <f t="shared" si="10"/>
        <v>8.4000000000000021</v>
      </c>
      <c r="BA40" s="87">
        <f t="shared" si="11"/>
        <v>11.414484998999848</v>
      </c>
    </row>
    <row r="41" spans="2:53" ht="23.25" customHeight="1" x14ac:dyDescent="0.35">
      <c r="B41" s="40" t="s">
        <v>101</v>
      </c>
      <c r="C41" s="39"/>
      <c r="D41" s="39"/>
      <c r="E41" s="39"/>
      <c r="F41" s="39"/>
      <c r="G41" s="10"/>
      <c r="H41" s="10"/>
      <c r="I41" s="10"/>
      <c r="J41" s="10"/>
      <c r="K41" s="10"/>
      <c r="L41" s="10"/>
      <c r="AO41" s="87">
        <f t="shared" si="13"/>
        <v>8.6000000000000014</v>
      </c>
      <c r="AP41" s="126" t="str">
        <f t="shared" si="2"/>
        <v>0.0001-4.42883720930233i</v>
      </c>
      <c r="AQ41" s="105" t="str">
        <f t="shared" si="3"/>
        <v>0.000001-0.282762896754251i</v>
      </c>
      <c r="AR41" s="105" t="str">
        <f t="shared" si="4"/>
        <v>0.0243176091208656+20.9131438439444i</v>
      </c>
      <c r="AS41" s="93" t="str">
        <f t="shared" si="0"/>
        <v>19.8528960862747+0.0001i</v>
      </c>
      <c r="AT41" s="87"/>
      <c r="AU41" s="87" t="str">
        <f t="shared" si="5"/>
        <v>0.0243186091208656+20.6303809471902i</v>
      </c>
      <c r="AV41" s="87" t="str">
        <f t="shared" si="6"/>
        <v>0.480731781744558+409.572811596689i</v>
      </c>
      <c r="AW41" s="87" t="str">
        <f t="shared" si="7"/>
        <v>19.8772146953956+20.6304809471902i</v>
      </c>
      <c r="AX41" s="87" t="str">
        <f t="shared" si="8"/>
        <v>10.3070907106383+9.90745313605344i</v>
      </c>
      <c r="AY41" s="87" t="str">
        <f t="shared" si="9"/>
        <v>10.3071907106383+5.47861592675111i</v>
      </c>
      <c r="AZ41" s="87">
        <f t="shared" si="10"/>
        <v>8.6000000000000014</v>
      </c>
      <c r="BA41" s="87">
        <f t="shared" si="11"/>
        <v>11.672763718088335</v>
      </c>
    </row>
    <row r="42" spans="2:53" ht="12.75" customHeight="1" x14ac:dyDescent="0.25">
      <c r="B42" s="221" t="s">
        <v>267</v>
      </c>
      <c r="C42" s="116"/>
      <c r="D42" s="296" t="s">
        <v>269</v>
      </c>
      <c r="E42" s="296"/>
      <c r="F42" s="296"/>
      <c r="G42" s="296"/>
      <c r="H42" s="296"/>
      <c r="I42" s="296"/>
      <c r="J42" s="11"/>
      <c r="K42" s="11"/>
      <c r="L42" s="11"/>
      <c r="AN42" s="34">
        <f>D29</f>
        <v>9.9600000000000009</v>
      </c>
      <c r="AO42" s="87">
        <f t="shared" si="13"/>
        <v>8.8000000000000007</v>
      </c>
      <c r="AP42" s="126" t="str">
        <f t="shared" si="2"/>
        <v>0.0001-4.32818181818182i</v>
      </c>
      <c r="AQ42" s="105" t="str">
        <f t="shared" si="3"/>
        <v>0.000001-0.276336467282563i</v>
      </c>
      <c r="AR42" s="105" t="str">
        <f t="shared" si="4"/>
        <v>0.0243176091208656+21.3994960263617i</v>
      </c>
      <c r="AS42" s="93" t="str">
        <f t="shared" si="0"/>
        <v>19.8528960862747+0.0001i</v>
      </c>
      <c r="AT42" s="87"/>
      <c r="AU42" s="87" t="str">
        <f t="shared" si="5"/>
        <v>0.0243186091208656+21.1231595590791i</v>
      </c>
      <c r="AV42" s="87" t="str">
        <f t="shared" si="6"/>
        <v>0.480682503883369+419.355894172058i</v>
      </c>
      <c r="AW42" s="87" t="str">
        <f t="shared" si="7"/>
        <v>19.8772146953956+21.1232595590791i</v>
      </c>
      <c r="AX42" s="87" t="str">
        <f t="shared" si="8"/>
        <v>10.5405476498833+9.89601276049495i</v>
      </c>
      <c r="AY42" s="87" t="str">
        <f t="shared" si="9"/>
        <v>10.5406476498833+5.56783094231313i</v>
      </c>
      <c r="AZ42" s="87">
        <f t="shared" si="10"/>
        <v>8.8000000000000007</v>
      </c>
      <c r="BA42" s="87">
        <f t="shared" si="11"/>
        <v>11.920821879433058</v>
      </c>
    </row>
    <row r="43" spans="2:53" s="87" customFormat="1" ht="12.75" customHeight="1" x14ac:dyDescent="0.25">
      <c r="B43" s="221"/>
      <c r="C43" s="116"/>
      <c r="D43" s="298" t="s">
        <v>276</v>
      </c>
      <c r="E43" s="298"/>
      <c r="F43" s="298"/>
      <c r="G43" s="227"/>
      <c r="H43" s="227"/>
      <c r="I43" s="298" t="s">
        <v>276</v>
      </c>
      <c r="J43" s="298"/>
      <c r="K43" s="298"/>
      <c r="L43" s="97"/>
      <c r="AN43" s="34"/>
      <c r="AP43" s="126"/>
      <c r="AQ43" s="105"/>
      <c r="AR43" s="105"/>
      <c r="AS43" s="93"/>
    </row>
    <row r="44" spans="2:53" ht="28.5" customHeight="1" x14ac:dyDescent="0.25">
      <c r="B44" s="32"/>
      <c r="C44" s="32"/>
      <c r="D44" s="234" t="s">
        <v>280</v>
      </c>
      <c r="E44" s="239" t="s">
        <v>283</v>
      </c>
      <c r="F44" s="235" t="s">
        <v>282</v>
      </c>
      <c r="G44" s="97"/>
      <c r="H44" s="238" t="s">
        <v>0</v>
      </c>
      <c r="I44" s="234" t="s">
        <v>280</v>
      </c>
      <c r="J44" s="327" t="s">
        <v>283</v>
      </c>
      <c r="K44" s="327"/>
      <c r="L44" s="235" t="s">
        <v>282</v>
      </c>
      <c r="AN44" s="34">
        <f>1.414*D29</f>
        <v>14.083440000000001</v>
      </c>
      <c r="AO44" s="87">
        <f>AO42+0.2</f>
        <v>9</v>
      </c>
      <c r="AP44" s="126" t="str">
        <f t="shared" si="2"/>
        <v>0.0001-4.232i</v>
      </c>
      <c r="AQ44" s="105" t="str">
        <f t="shared" si="3"/>
        <v>0.000001-0.270195656898506i</v>
      </c>
      <c r="AR44" s="105" t="str">
        <f t="shared" si="4"/>
        <v>0.0243176091208656+21.885848208779i</v>
      </c>
      <c r="AS44" s="93" t="str">
        <f t="shared" ref="AS44:AS65" si="14">COMPLEX($D$17,0.0001)</f>
        <v>19.8528960862747+0.0001i</v>
      </c>
      <c r="AT44" s="87"/>
      <c r="AU44" s="87" t="str">
        <f t="shared" si="5"/>
        <v>0.0243186091208656+21.6156525518805i</v>
      </c>
      <c r="AV44" s="87" t="str">
        <f t="shared" si="6"/>
        <v>0.480633254584089+429.133306381363i</v>
      </c>
      <c r="AW44" s="87" t="str">
        <f t="shared" si="7"/>
        <v>19.8772146953956+21.6157525518805i</v>
      </c>
      <c r="AX44" s="87" t="str">
        <f t="shared" si="8"/>
        <v>10.7678472445204+9.87956249588885i</v>
      </c>
      <c r="AY44" s="87" t="str">
        <f t="shared" si="9"/>
        <v>10.7679472445204+5.64756249588885i</v>
      </c>
      <c r="AZ44" s="87">
        <f t="shared" si="10"/>
        <v>9</v>
      </c>
      <c r="BA44" s="87">
        <f t="shared" si="11"/>
        <v>12.159097417396769</v>
      </c>
    </row>
    <row r="45" spans="2:53" ht="27.75" customHeight="1" x14ac:dyDescent="0.25">
      <c r="B45" s="37" t="s">
        <v>91</v>
      </c>
      <c r="C45" s="32"/>
      <c r="D45" s="38">
        <f>D36/(AN42)</f>
        <v>0.80439102646612737</v>
      </c>
      <c r="E45" s="228">
        <f>(SQRT(SUM(S75*1.1*1.1,T75:Z75)+SUM(S81:Z81)))/1000/(AN42)</f>
        <v>0.88416322576728257</v>
      </c>
      <c r="F45" s="111">
        <f>IF(LEFT(D42,2)="SD",1.1,1.25)</f>
        <v>1.25</v>
      </c>
      <c r="H45" s="37" t="str">
        <f>"% "&amp;$D$11&amp;"HZ AMPS:"</f>
        <v>% 60HZ AMPS:</v>
      </c>
      <c r="I45" s="35">
        <f>D38/AN45</f>
        <v>0.88423595213883688</v>
      </c>
      <c r="J45" s="294">
        <f>SQRT(SUM(S76*1.1*1.1,T76:Z76,S82:Z82))/D31/AN45</f>
        <v>0.95737814127692089</v>
      </c>
      <c r="K45" s="294"/>
      <c r="L45" s="33">
        <v>1.35</v>
      </c>
      <c r="AN45" s="34">
        <f>D32/D29</f>
        <v>52.299936988027717</v>
      </c>
      <c r="AO45" s="87">
        <f t="shared" si="13"/>
        <v>9.1999999999999993</v>
      </c>
      <c r="AP45" s="126" t="str">
        <f t="shared" si="2"/>
        <v>0.0001-4.14i</v>
      </c>
      <c r="AQ45" s="105" t="str">
        <f t="shared" si="3"/>
        <v>0.000001-0.264321838270278i</v>
      </c>
      <c r="AR45" s="105" t="str">
        <f t="shared" si="4"/>
        <v>0.0243176091208656+22.3722003911963i</v>
      </c>
      <c r="AS45" s="93" t="str">
        <f t="shared" si="14"/>
        <v>19.8528960862747+0.0001i</v>
      </c>
      <c r="AT45" s="87"/>
      <c r="AU45" s="87" t="str">
        <f t="shared" si="5"/>
        <v>0.0243186091208656+22.107878552926i</v>
      </c>
      <c r="AV45" s="87" t="str">
        <f t="shared" si="6"/>
        <v>0.480584031983984+438.905418031082i</v>
      </c>
      <c r="AW45" s="87" t="str">
        <f t="shared" si="7"/>
        <v>19.8772146953956+22.107978552926i</v>
      </c>
      <c r="AX45" s="87" t="str">
        <f t="shared" si="8"/>
        <v>10.9890640295606+9.85849522439469i</v>
      </c>
      <c r="AY45" s="87" t="str">
        <f t="shared" si="9"/>
        <v>10.9891640295606+5.71849522439469i</v>
      </c>
      <c r="AZ45" s="87">
        <f t="shared" si="10"/>
        <v>9.1999999999999993</v>
      </c>
      <c r="BA45" s="87">
        <f t="shared" si="11"/>
        <v>12.388014921689972</v>
      </c>
    </row>
    <row r="46" spans="2:53" x14ac:dyDescent="0.25">
      <c r="B46" s="56" t="s">
        <v>92</v>
      </c>
      <c r="C46" s="57"/>
      <c r="D46" s="58">
        <f>D37/(AN44)</f>
        <v>0.87584371613622136</v>
      </c>
      <c r="E46" s="229">
        <f>D46+0.1</f>
        <v>0.97584371613622134</v>
      </c>
      <c r="F46" s="132">
        <f>IF(LEFT(D42,2)="SD",1.2,1.35)</f>
        <v>1.35</v>
      </c>
      <c r="G46" s="96"/>
      <c r="H46" s="133" t="str">
        <f>"% "&amp;$D$11&amp;"HZ KVAR:"</f>
        <v>% 60HZ KVAR:</v>
      </c>
      <c r="I46" s="61">
        <f>(SUM(S77:Z77)+SUM(S83:Z83))/AN46</f>
        <v>0.66951630605850421</v>
      </c>
      <c r="J46" s="303">
        <f>(SUM(S77*1.1*1.1,T77:Z77)+SUM(S83:Z83))/AN46</f>
        <v>0.80421599239848074</v>
      </c>
      <c r="K46" s="303"/>
      <c r="L46" s="59">
        <v>1.35</v>
      </c>
      <c r="AN46" s="36">
        <f>D32*D31</f>
        <v>2604.5368620037807</v>
      </c>
      <c r="AO46" s="87">
        <f t="shared" si="13"/>
        <v>9.3999999999999986</v>
      </c>
      <c r="AP46" s="126" t="str">
        <f t="shared" si="2"/>
        <v>0.0001-4.05191489361702i</v>
      </c>
      <c r="AQ46" s="105" t="str">
        <f t="shared" si="3"/>
        <v>0.000001-0.25869796937091i</v>
      </c>
      <c r="AR46" s="105" t="str">
        <f t="shared" si="4"/>
        <v>0.0243176091208656+22.8585525736136i</v>
      </c>
      <c r="AS46" s="93" t="str">
        <f t="shared" si="14"/>
        <v>19.8528960862747+0.0001i</v>
      </c>
      <c r="AT46" s="87"/>
      <c r="AU46" s="87" t="str">
        <f t="shared" si="5"/>
        <v>0.0243186091208656+22.5998546042427i</v>
      </c>
      <c r="AV46" s="87" t="str">
        <f t="shared" si="6"/>
        <v>0.480534834378853+448.672567454808i</v>
      </c>
      <c r="AW46" s="87" t="str">
        <f t="shared" si="7"/>
        <v>19.8772146953956+22.5999546042427i</v>
      </c>
      <c r="AX46" s="87" t="str">
        <f t="shared" si="8"/>
        <v>11.2042846439981+9.83318066050342i</v>
      </c>
      <c r="AY46" s="87" t="str">
        <f t="shared" si="9"/>
        <v>11.2043846439981+5.7812657668864i</v>
      </c>
      <c r="AZ46" s="87">
        <f t="shared" si="10"/>
        <v>9.3999999999999986</v>
      </c>
      <c r="BA46" s="87">
        <f t="shared" si="11"/>
        <v>12.607984340013791</v>
      </c>
    </row>
    <row r="47" spans="2:53" x14ac:dyDescent="0.25">
      <c r="C47" s="32"/>
      <c r="AO47" s="87">
        <f t="shared" si="13"/>
        <v>9.5999999999999979</v>
      </c>
      <c r="AP47" s="126" t="str">
        <f t="shared" si="2"/>
        <v>0.0001-3.9675i</v>
      </c>
      <c r="AQ47" s="105" t="str">
        <f t="shared" si="3"/>
        <v>0.000001-0.25330842834235i</v>
      </c>
      <c r="AR47" s="105" t="str">
        <f t="shared" si="4"/>
        <v>0.0243176091208656+23.3449047560309i</v>
      </c>
      <c r="AS47" s="93" t="str">
        <f t="shared" si="14"/>
        <v>19.8528960862747+0.0001i</v>
      </c>
      <c r="AT47" s="87"/>
      <c r="AU47" s="87" t="str">
        <f t="shared" si="5"/>
        <v>0.0243186091208656+23.0915963276885i</v>
      </c>
      <c r="AV47" s="87" t="str">
        <f t="shared" si="6"/>
        <v>0.480485660206508+458.435064791663i</v>
      </c>
      <c r="AW47" s="87" t="str">
        <f t="shared" si="7"/>
        <v>19.8772146953956+23.0916963276885i</v>
      </c>
      <c r="AX47" s="87" t="str">
        <f t="shared" si="8"/>
        <v>11.4136059798898+9.80396622396496i</v>
      </c>
      <c r="AY47" s="87" t="str">
        <f t="shared" si="9"/>
        <v>11.4137059798898+5.83646622396496i</v>
      </c>
      <c r="AZ47" s="87">
        <f t="shared" si="10"/>
        <v>9.5999999999999979</v>
      </c>
      <c r="BA47" s="87">
        <f t="shared" si="11"/>
        <v>12.81940022695508</v>
      </c>
    </row>
    <row r="48" spans="2:53" ht="21" x14ac:dyDescent="0.35">
      <c r="B48" s="286" t="s">
        <v>90</v>
      </c>
      <c r="C48" s="286"/>
      <c r="D48" s="286"/>
      <c r="E48" s="286"/>
      <c r="F48" s="286"/>
      <c r="G48" s="286"/>
      <c r="H48" s="286"/>
      <c r="I48" s="286"/>
      <c r="J48" s="286"/>
      <c r="K48" s="286"/>
      <c r="L48" s="286"/>
      <c r="AO48" s="87">
        <f t="shared" si="13"/>
        <v>9.7999999999999972</v>
      </c>
      <c r="AP48" s="126" t="str">
        <f t="shared" si="2"/>
        <v>0.0001-3.8865306122449i</v>
      </c>
      <c r="AQ48" s="105" t="str">
        <f t="shared" si="3"/>
        <v>0.000001-0.248138868580261i</v>
      </c>
      <c r="AR48" s="105" t="str">
        <f t="shared" si="4"/>
        <v>0.0243176091208656+23.8312569384483i</v>
      </c>
      <c r="AS48" s="93" t="str">
        <f t="shared" si="14"/>
        <v>19.8528960862747+0.0001i</v>
      </c>
      <c r="AT48" s="87"/>
      <c r="AU48" s="87" t="str">
        <f t="shared" si="5"/>
        <v>0.0243186091208656+23.583118069868i</v>
      </c>
      <c r="AV48" s="87" t="str">
        <f t="shared" si="6"/>
        <v>0.48043650803229+468.193194863298i</v>
      </c>
      <c r="AW48" s="87" t="str">
        <f t="shared" si="7"/>
        <v>19.8772146953956+23.583218069868i</v>
      </c>
      <c r="AX48" s="87" t="str">
        <f t="shared" si="8"/>
        <v>11.6171335098376+9.77117795075263i</v>
      </c>
      <c r="AY48" s="87" t="str">
        <f t="shared" si="9"/>
        <v>11.6172335098376+5.88464733850773i</v>
      </c>
      <c r="AZ48" s="87">
        <f t="shared" si="10"/>
        <v>9.7999999999999972</v>
      </c>
      <c r="BA48" s="87">
        <f t="shared" si="11"/>
        <v>13.022641388009568</v>
      </c>
    </row>
    <row r="49" spans="2:53" ht="18" x14ac:dyDescent="0.35">
      <c r="B49" s="4" t="s">
        <v>118</v>
      </c>
      <c r="D49" s="26">
        <v>1</v>
      </c>
      <c r="E49" t="s">
        <v>1</v>
      </c>
      <c r="AO49" s="87">
        <f t="shared" si="13"/>
        <v>9.9999999999999964</v>
      </c>
      <c r="AP49" s="126" t="str">
        <f t="shared" si="2"/>
        <v>0.0001-3.8088i</v>
      </c>
      <c r="AQ49" s="105" t="str">
        <f t="shared" si="3"/>
        <v>0.000001-0.243176091208656i</v>
      </c>
      <c r="AR49" s="105" t="str">
        <f t="shared" si="4"/>
        <v>0.0243176091208656+24.3176091208656i</v>
      </c>
      <c r="AS49" s="93" t="str">
        <f t="shared" si="14"/>
        <v>19.8528960862747+0.0001i</v>
      </c>
      <c r="AT49" s="87"/>
      <c r="AU49" s="87" t="str">
        <f t="shared" si="5"/>
        <v>0.0243186091208656+24.0744330296569i</v>
      </c>
      <c r="AV49" s="87" t="str">
        <f t="shared" si="6"/>
        <v>0.480387376536311+477.947219705619i</v>
      </c>
      <c r="AW49" s="87" t="str">
        <f t="shared" si="7"/>
        <v>19.8772146953956+24.0745330296569i</v>
      </c>
      <c r="AX49" s="87" t="str">
        <f t="shared" si="8"/>
        <v>11.8149797816081+9.73512142792272i</v>
      </c>
      <c r="AY49" s="87" t="str">
        <f t="shared" si="9"/>
        <v>11.8150797816081+5.92632142792272i</v>
      </c>
      <c r="AZ49" s="87">
        <f t="shared" si="10"/>
        <v>9.9999999999999964</v>
      </c>
      <c r="BA49" s="87">
        <f t="shared" si="11"/>
        <v>13.218070809040951</v>
      </c>
    </row>
    <row r="50" spans="2:53" ht="18" x14ac:dyDescent="0.35">
      <c r="B50" s="4" t="s">
        <v>81</v>
      </c>
      <c r="D50" s="5">
        <f>1000*(D49*D49)/D23</f>
        <v>411.22463768115927</v>
      </c>
      <c r="E50" t="s">
        <v>11</v>
      </c>
      <c r="AO50" s="87">
        <f t="shared" si="13"/>
        <v>10.199999999999996</v>
      </c>
      <c r="AP50" s="126" t="str">
        <f t="shared" si="2"/>
        <v>0.0001-3.73411764705883i</v>
      </c>
      <c r="AQ50" s="105" t="str">
        <f t="shared" si="3"/>
        <v>0.000001-0.238407932557506i</v>
      </c>
      <c r="AR50" s="105" t="str">
        <f t="shared" si="4"/>
        <v>0.0243176091208656+24.8039613032829i</v>
      </c>
      <c r="AS50" s="93" t="str">
        <f t="shared" si="14"/>
        <v>19.8528960862747+0.0001i</v>
      </c>
      <c r="AT50" s="87"/>
      <c r="AU50" s="87" t="str">
        <f t="shared" si="5"/>
        <v>0.0243186091208656+24.5655533707254i</v>
      </c>
      <c r="AV50" s="87" t="str">
        <f t="shared" si="6"/>
        <v>0.480338264502204+487.697380802708i</v>
      </c>
      <c r="AW50" s="87" t="str">
        <f t="shared" si="7"/>
        <v>19.8772146953956+24.5656533707254i</v>
      </c>
      <c r="AX50" s="87" t="str">
        <f t="shared" si="8"/>
        <v>12.0072630684383+9.69608274025352i</v>
      </c>
      <c r="AY50" s="87" t="str">
        <f t="shared" si="9"/>
        <v>12.0073630684383+5.96196509319469i</v>
      </c>
      <c r="AZ50" s="87">
        <f t="shared" si="10"/>
        <v>10.199999999999996</v>
      </c>
      <c r="BA50" s="87">
        <f t="shared" si="11"/>
        <v>13.406035791007273</v>
      </c>
    </row>
    <row r="51" spans="2:53" ht="18" x14ac:dyDescent="0.35">
      <c r="B51" s="99" t="s">
        <v>198</v>
      </c>
      <c r="D51" s="160">
        <v>6</v>
      </c>
      <c r="J51" s="22" t="s">
        <v>85</v>
      </c>
      <c r="K51" s="21">
        <f>(D49*D49)/D52*1000</f>
        <v>14.590565472519344</v>
      </c>
      <c r="L51" t="s">
        <v>135</v>
      </c>
      <c r="AO51" s="87">
        <f t="shared" si="13"/>
        <v>10.399999999999995</v>
      </c>
      <c r="AP51" s="126" t="str">
        <f t="shared" si="2"/>
        <v>0.0001-3.66230769230769i</v>
      </c>
      <c r="AQ51" s="105" t="str">
        <f t="shared" si="3"/>
        <v>0.000001-0.233823164623708i</v>
      </c>
      <c r="AR51" s="105" t="str">
        <f t="shared" si="4"/>
        <v>0.0243176091208656+25.2903134857002i</v>
      </c>
      <c r="AS51" s="93" t="str">
        <f t="shared" si="14"/>
        <v>19.8528960862747+0.0001i</v>
      </c>
      <c r="AT51" s="87"/>
      <c r="AU51" s="87" t="str">
        <f t="shared" si="5"/>
        <v>0.0243186091208656+25.0564903210765i</v>
      </c>
      <c r="AV51" s="87" t="str">
        <f t="shared" si="6"/>
        <v>0.480289170807169+497.44390106294i</v>
      </c>
      <c r="AW51" s="87" t="str">
        <f t="shared" si="7"/>
        <v>19.8772146953956+25.0565903210765i</v>
      </c>
      <c r="AX51" s="87" t="str">
        <f t="shared" si="8"/>
        <v>12.1941061636081+9.65432941840445i</v>
      </c>
      <c r="AY51" s="87" t="str">
        <f t="shared" si="9"/>
        <v>12.1942061636081+5.99202172609676i</v>
      </c>
      <c r="AZ51" s="87">
        <f t="shared" si="10"/>
        <v>10.399999999999995</v>
      </c>
      <c r="BA51" s="87">
        <f t="shared" si="11"/>
        <v>13.586868231001336</v>
      </c>
    </row>
    <row r="52" spans="2:53" x14ac:dyDescent="0.25">
      <c r="B52" s="4" t="s">
        <v>96</v>
      </c>
      <c r="D52" s="5">
        <f>D50/D51</f>
        <v>68.537439613526544</v>
      </c>
      <c r="E52" t="s">
        <v>11</v>
      </c>
      <c r="J52" s="22" t="s">
        <v>86</v>
      </c>
      <c r="K52" s="21">
        <f>1000*1000/(2*3.1415*$D$11*K51)</f>
        <v>181.80656696250873</v>
      </c>
      <c r="L52" t="s">
        <v>134</v>
      </c>
      <c r="AO52" s="87">
        <f t="shared" si="13"/>
        <v>10.599999999999994</v>
      </c>
      <c r="AP52" s="126" t="str">
        <f t="shared" si="2"/>
        <v>0.0001-3.59320754716981i</v>
      </c>
      <c r="AQ52" s="105" t="str">
        <f t="shared" si="3"/>
        <v>0.000001-0.229411406800619i</v>
      </c>
      <c r="AR52" s="105" t="str">
        <f t="shared" si="4"/>
        <v>0.0243176091208656+25.7766656681175i</v>
      </c>
      <c r="AS52" s="93" t="str">
        <f t="shared" si="14"/>
        <v>19.8528960862747+0.0001i</v>
      </c>
      <c r="AT52" s="87"/>
      <c r="AU52" s="87" t="str">
        <f t="shared" si="5"/>
        <v>0.0243186091208656+25.5472542613169i</v>
      </c>
      <c r="AV52" s="87" t="str">
        <f t="shared" si="6"/>
        <v>0.480240094413145+507.186986571424i</v>
      </c>
      <c r="AW52" s="87" t="str">
        <f t="shared" si="7"/>
        <v>19.8772146953956+25.5473542613169i</v>
      </c>
      <c r="AX52" s="87" t="str">
        <f t="shared" si="8"/>
        <v>12.3756353080708+9.6101113800178i</v>
      </c>
      <c r="AY52" s="87" t="str">
        <f t="shared" si="9"/>
        <v>12.3757353080708+6.01690383284799i</v>
      </c>
      <c r="AZ52" s="87">
        <f t="shared" si="10"/>
        <v>10.599999999999994</v>
      </c>
      <c r="BA52" s="87">
        <f t="shared" si="11"/>
        <v>13.760885006029628</v>
      </c>
    </row>
    <row r="53" spans="2:53" ht="33" x14ac:dyDescent="0.25">
      <c r="B53" s="81" t="s">
        <v>196</v>
      </c>
      <c r="D53" s="25">
        <f>S93/D51</f>
        <v>34.905475971070338</v>
      </c>
      <c r="E53" s="16" t="s">
        <v>12</v>
      </c>
      <c r="AO53" s="87">
        <f t="shared" si="13"/>
        <v>10.799999999999994</v>
      </c>
      <c r="AP53" s="126" t="str">
        <f t="shared" si="2"/>
        <v>0.0001-3.52666666666667i</v>
      </c>
      <c r="AQ53" s="105" t="str">
        <f t="shared" si="3"/>
        <v>0.000001-0.225163047415422i</v>
      </c>
      <c r="AR53" s="105" t="str">
        <f t="shared" si="4"/>
        <v>0.0243176091208656+26.2630178505348i</v>
      </c>
      <c r="AS53" s="93" t="str">
        <f t="shared" si="14"/>
        <v>19.8528960862747+0.0001i</v>
      </c>
      <c r="AT53" s="87"/>
      <c r="AU53" s="87" t="str">
        <f t="shared" si="5"/>
        <v>0.0243186091208656+26.0378548031194i</v>
      </c>
      <c r="AV53" s="87" t="str">
        <f t="shared" si="6"/>
        <v>0.480191034358965+516.926828147699i</v>
      </c>
      <c r="AW53" s="87" t="str">
        <f t="shared" si="7"/>
        <v>19.8772146953956+26.0379548031194i</v>
      </c>
      <c r="AX53" s="87" t="str">
        <f t="shared" si="8"/>
        <v>12.5519792402796+9.56366185669063i</v>
      </c>
      <c r="AY53" s="87" t="str">
        <f t="shared" si="9"/>
        <v>12.5520792402796+6.03699519002396i</v>
      </c>
      <c r="AZ53" s="87">
        <f t="shared" si="10"/>
        <v>10.799999999999994</v>
      </c>
      <c r="BA53" s="87">
        <f t="shared" si="11"/>
        <v>13.928388427188212</v>
      </c>
    </row>
    <row r="54" spans="2:53" ht="30" x14ac:dyDescent="0.25">
      <c r="B54" s="13" t="s">
        <v>95</v>
      </c>
      <c r="D54" s="14">
        <f>1.8*D53</f>
        <v>62.829856747926613</v>
      </c>
      <c r="E54" s="16" t="s">
        <v>12</v>
      </c>
      <c r="AO54" s="87">
        <f t="shared" si="13"/>
        <v>10.999999999999993</v>
      </c>
      <c r="AP54" s="126" t="str">
        <f t="shared" si="2"/>
        <v>0.0001-3.46254545454546i</v>
      </c>
      <c r="AQ54" s="105" t="str">
        <f t="shared" si="3"/>
        <v>0.000001-0.221069173826051i</v>
      </c>
      <c r="AR54" s="105" t="str">
        <f t="shared" si="4"/>
        <v>0.0243176091208656+26.7493700329521i</v>
      </c>
      <c r="AS54" s="93" t="str">
        <f t="shared" si="14"/>
        <v>19.8528960862747+0.0001i</v>
      </c>
      <c r="AT54" s="87"/>
      <c r="AU54" s="87" t="str">
        <f t="shared" si="5"/>
        <v>0.0243186091208656+26.528300859126i</v>
      </c>
      <c r="AV54" s="87" t="str">
        <f t="shared" si="6"/>
        <v>0.480141989753364+526.663602733521i</v>
      </c>
      <c r="AW54" s="87" t="str">
        <f t="shared" si="7"/>
        <v>19.8772146953956+26.528400859126i</v>
      </c>
      <c r="AX54" s="87" t="str">
        <f t="shared" si="8"/>
        <v>12.7232683577892+9.5151983010812i</v>
      </c>
      <c r="AY54" s="87" t="str">
        <f t="shared" si="9"/>
        <v>12.7233683577892+6.05265284653574i</v>
      </c>
      <c r="AZ54" s="87">
        <f t="shared" si="10"/>
        <v>10.999999999999993</v>
      </c>
      <c r="BA54" s="87">
        <f t="shared" si="11"/>
        <v>14.089666740156369</v>
      </c>
    </row>
    <row r="55" spans="2:53" ht="21.75" customHeight="1" x14ac:dyDescent="0.35">
      <c r="B55" s="4" t="s">
        <v>75</v>
      </c>
      <c r="D55" s="25">
        <f>S93*D23/1000</f>
        <v>0.50929063250535256</v>
      </c>
      <c r="E55" t="s">
        <v>1</v>
      </c>
      <c r="AO55" s="87">
        <f t="shared" si="13"/>
        <v>11.199999999999992</v>
      </c>
      <c r="AP55" s="126" t="str">
        <f t="shared" si="2"/>
        <v>0.0001-3.40071428571429i</v>
      </c>
      <c r="AQ55" s="105" t="str">
        <f t="shared" si="3"/>
        <v>0.000001-0.217121510007729i</v>
      </c>
      <c r="AR55" s="105" t="str">
        <f t="shared" si="4"/>
        <v>0.0243176091208656+27.2357222153694i</v>
      </c>
      <c r="AS55" s="93" t="str">
        <f t="shared" si="14"/>
        <v>19.8528960862747+0.0001i</v>
      </c>
      <c r="AT55" s="87"/>
      <c r="AU55" s="87" t="str">
        <f t="shared" si="5"/>
        <v>0.0243186091208656+27.0186007053617i</v>
      </c>
      <c r="AV55" s="87" t="str">
        <f t="shared" si="6"/>
        <v>0.480092959768741+536.397474631955i</v>
      </c>
      <c r="AW55" s="87" t="str">
        <f t="shared" si="7"/>
        <v>19.8772146953956+27.0187007053617i</v>
      </c>
      <c r="AX55" s="87" t="str">
        <f t="shared" si="8"/>
        <v>12.8896339807267+9.46492326958768i</v>
      </c>
      <c r="AY55" s="87" t="str">
        <f t="shared" si="9"/>
        <v>12.8897339807267+6.06420898387339i</v>
      </c>
      <c r="AZ55" s="87">
        <f t="shared" si="10"/>
        <v>11.199999999999992</v>
      </c>
      <c r="BA55" s="87">
        <f t="shared" si="11"/>
        <v>14.244994654052745</v>
      </c>
    </row>
    <row r="56" spans="2:53" ht="26.25" customHeight="1" x14ac:dyDescent="0.25">
      <c r="B56" s="46" t="s">
        <v>119</v>
      </c>
      <c r="C56" s="16"/>
      <c r="D56" s="25">
        <f>SQRT(SUM(S98:AH98))/1000</f>
        <v>0.51094530064021326</v>
      </c>
      <c r="E56" s="16" t="s">
        <v>1</v>
      </c>
      <c r="AO56" s="87">
        <f t="shared" si="13"/>
        <v>11.399999999999991</v>
      </c>
      <c r="AP56" s="126" t="str">
        <f t="shared" si="2"/>
        <v>0.0001-3.34105263157895i</v>
      </c>
      <c r="AQ56" s="105" t="str">
        <f t="shared" si="3"/>
        <v>0.000001-0.213312360709347i</v>
      </c>
      <c r="AR56" s="105" t="str">
        <f t="shared" si="4"/>
        <v>0.0243176091208656+27.7220743977867i</v>
      </c>
      <c r="AS56" s="93" t="str">
        <f t="shared" si="14"/>
        <v>19.8528960862747+0.0001i</v>
      </c>
      <c r="AT56" s="87"/>
      <c r="AU56" s="87" t="str">
        <f t="shared" si="5"/>
        <v>0.0243186091208656+27.5087620370774i</v>
      </c>
      <c r="AV56" s="87" t="str">
        <f t="shared" si="6"/>
        <v>0.480043943635569+546.128596616017i</v>
      </c>
      <c r="AW56" s="87" t="str">
        <f t="shared" si="7"/>
        <v>19.8772146953956+27.5088620370774i</v>
      </c>
      <c r="AX56" s="87" t="str">
        <f t="shared" si="8"/>
        <v>13.0512077077845+9.41302527706121i</v>
      </c>
      <c r="AY56" s="87" t="str">
        <f t="shared" si="9"/>
        <v>13.0513077077845+6.07197264548226i</v>
      </c>
      <c r="AZ56" s="87">
        <f t="shared" si="10"/>
        <v>11.399999999999991</v>
      </c>
      <c r="BA56" s="87">
        <f t="shared" si="11"/>
        <v>14.394633885262937</v>
      </c>
    </row>
    <row r="57" spans="2:53" ht="25.5" customHeight="1" x14ac:dyDescent="0.25">
      <c r="B57" s="46" t="s">
        <v>120</v>
      </c>
      <c r="C57" s="16"/>
      <c r="D57" s="25">
        <f>1.414*SUM(S97:AH97)/1000</f>
        <v>0.77823414993594398</v>
      </c>
      <c r="E57" s="16" t="s">
        <v>1</v>
      </c>
      <c r="AO57" s="87">
        <f t="shared" si="13"/>
        <v>11.599999999999991</v>
      </c>
      <c r="AP57" s="126" t="str">
        <f t="shared" si="2"/>
        <v>0.0001-3.28344827586207i</v>
      </c>
      <c r="AQ57" s="105" t="str">
        <f t="shared" si="3"/>
        <v>0.000001-0.209634561386772i</v>
      </c>
      <c r="AR57" s="105" t="str">
        <f t="shared" si="4"/>
        <v>0.0243176091208656+28.208426580204i</v>
      </c>
      <c r="AS57" s="93" t="str">
        <f t="shared" si="14"/>
        <v>19.8528960862747+0.0001i</v>
      </c>
      <c r="AT57" s="87"/>
      <c r="AU57" s="87" t="str">
        <f t="shared" si="5"/>
        <v>0.0243186091208656+27.9987920188172i</v>
      </c>
      <c r="AV57" s="87" t="str">
        <f t="shared" si="6"/>
        <v>0.479994940637395+555.857110922656i</v>
      </c>
      <c r="AW57" s="87" t="str">
        <f t="shared" si="7"/>
        <v>19.8772146953956+27.9988920188172i</v>
      </c>
      <c r="AX57" s="87" t="str">
        <f t="shared" si="8"/>
        <v>13.2081208559743+9.35967962089977i</v>
      </c>
      <c r="AY57" s="87" t="str">
        <f t="shared" si="9"/>
        <v>13.2082208559743+6.0762313450377i</v>
      </c>
      <c r="AZ57" s="87">
        <f t="shared" si="10"/>
        <v>11.599999999999991</v>
      </c>
      <c r="BA57" s="87">
        <f t="shared" si="11"/>
        <v>14.538833706271392</v>
      </c>
    </row>
    <row r="58" spans="2:53" ht="30.75" customHeight="1" x14ac:dyDescent="0.25">
      <c r="B58" s="46" t="s">
        <v>121</v>
      </c>
      <c r="C58" s="16"/>
      <c r="D58" s="24">
        <f>SQRT(SUM(S99:AH99))/D51</f>
        <v>37.63827243999706</v>
      </c>
      <c r="E58" s="16" t="s">
        <v>53</v>
      </c>
      <c r="AO58" s="87">
        <f t="shared" si="13"/>
        <v>11.79999999999999</v>
      </c>
      <c r="AP58" s="126" t="str">
        <f t="shared" si="2"/>
        <v>0.0001-3.2277966101695i</v>
      </c>
      <c r="AQ58" s="105" t="str">
        <f t="shared" si="3"/>
        <v>0.000001-0.206081433227675i</v>
      </c>
      <c r="AR58" s="105" t="str">
        <f t="shared" si="4"/>
        <v>0.0243176091208656+28.6947787626214i</v>
      </c>
      <c r="AS58" s="93" t="str">
        <f t="shared" si="14"/>
        <v>19.8528960862747+0.0001i</v>
      </c>
      <c r="AT58" s="87"/>
      <c r="AU58" s="87" t="str">
        <f t="shared" si="5"/>
        <v>0.0243186091208656+28.4886973293937i</v>
      </c>
      <c r="AV58" s="87" t="str">
        <f t="shared" si="6"/>
        <v>0.479945950106338+565.583150145646i</v>
      </c>
      <c r="AW58" s="87" t="str">
        <f t="shared" si="7"/>
        <v>19.8772146953956+28.4887973293937i</v>
      </c>
      <c r="AX58" s="87" t="str">
        <f t="shared" si="8"/>
        <v>13.360503975975+9.30504917262778i</v>
      </c>
      <c r="AY58" s="87" t="str">
        <f t="shared" si="9"/>
        <v>13.360603975975+6.07725256245828i</v>
      </c>
      <c r="AZ58" s="87">
        <f t="shared" si="10"/>
        <v>11.79999999999999</v>
      </c>
      <c r="BA58" s="87">
        <f t="shared" si="11"/>
        <v>14.677831492108931</v>
      </c>
    </row>
    <row r="59" spans="2:53" ht="26.25" customHeight="1" x14ac:dyDescent="0.25">
      <c r="B59" s="53" t="s">
        <v>122</v>
      </c>
      <c r="C59" s="54"/>
      <c r="D59" s="55">
        <f>SUM(S100:AH100)</f>
        <v>110.13323985497495</v>
      </c>
      <c r="E59" s="54" t="s">
        <v>11</v>
      </c>
      <c r="F59" s="10"/>
      <c r="G59" s="10"/>
      <c r="H59" s="10"/>
      <c r="I59" s="10"/>
      <c r="J59" s="10"/>
      <c r="K59" s="10"/>
      <c r="L59" s="10"/>
      <c r="AO59" s="87">
        <f t="shared" si="13"/>
        <v>11.999999999999989</v>
      </c>
      <c r="AP59" s="126" t="str">
        <f t="shared" si="2"/>
        <v>0.0001-3.174i</v>
      </c>
      <c r="AQ59" s="105" t="str">
        <f t="shared" si="3"/>
        <v>0.000001-0.20264674267388i</v>
      </c>
      <c r="AR59" s="105" t="str">
        <f t="shared" si="4"/>
        <v>0.0243176091208656+29.1811309450387i</v>
      </c>
      <c r="AS59" s="93" t="str">
        <f t="shared" si="14"/>
        <v>19.8528960862747+0.0001i</v>
      </c>
      <c r="AT59" s="87"/>
      <c r="AU59" s="87" t="str">
        <f t="shared" si="5"/>
        <v>0.0243186091208656+28.9784842023648i</v>
      </c>
      <c r="AV59" s="87" t="str">
        <f t="shared" si="6"/>
        <v>0.47989697141904+575.306838039162i</v>
      </c>
      <c r="AW59" s="87" t="str">
        <f t="shared" si="7"/>
        <v>19.8772146953956+28.9785842023648i</v>
      </c>
      <c r="AX59" s="87" t="str">
        <f t="shared" si="8"/>
        <v>13.508486435502+9.24928513571135i</v>
      </c>
      <c r="AY59" s="87" t="str">
        <f t="shared" si="9"/>
        <v>13.508586435502+6.07528513571135i</v>
      </c>
      <c r="AZ59" s="87">
        <f t="shared" si="10"/>
        <v>11.999999999999989</v>
      </c>
      <c r="BA59" s="87">
        <f t="shared" si="11"/>
        <v>14.811853258982277</v>
      </c>
    </row>
    <row r="60" spans="2:53" ht="34.5" customHeight="1" x14ac:dyDescent="0.25">
      <c r="B60" s="27"/>
      <c r="C60" s="16"/>
      <c r="D60" s="24"/>
      <c r="E60" s="16"/>
      <c r="AO60" s="87">
        <f t="shared" si="13"/>
        <v>12.199999999999989</v>
      </c>
      <c r="AP60" s="126" t="str">
        <f t="shared" si="2"/>
        <v>0.0001-3.12196721311476i</v>
      </c>
      <c r="AQ60" s="105" t="str">
        <f t="shared" si="3"/>
        <v>0.000001-0.199324664925128i</v>
      </c>
      <c r="AR60" s="105" t="str">
        <f t="shared" si="4"/>
        <v>0.0243176091208656+29.667483127456i</v>
      </c>
      <c r="AS60" s="93" t="str">
        <f t="shared" si="14"/>
        <v>19.8528960862747+0.0001i</v>
      </c>
      <c r="AT60" s="87"/>
      <c r="AU60" s="87" t="str">
        <f t="shared" si="5"/>
        <v>0.0243186091208656+29.4681584625309i</v>
      </c>
      <c r="AV60" s="87" t="str">
        <f t="shared" si="6"/>
        <v>0.479848003993024+585.028290242363i</v>
      </c>
      <c r="AW60" s="87" t="str">
        <f t="shared" si="7"/>
        <v>19.8772146953956+29.4682584625309i</v>
      </c>
      <c r="AX60" s="87" t="str">
        <f t="shared" si="8"/>
        <v>13.6521960637089+9.19252776890155i</v>
      </c>
      <c r="AY60" s="87" t="str">
        <f t="shared" si="9"/>
        <v>13.6522960637089+6.07056055578679i</v>
      </c>
      <c r="AZ60" s="87">
        <f t="shared" si="10"/>
        <v>12.199999999999989</v>
      </c>
      <c r="BA60" s="87">
        <f t="shared" si="11"/>
        <v>14.941114191138354</v>
      </c>
    </row>
    <row r="61" spans="2:53" s="87" customFormat="1" ht="36" customHeight="1" x14ac:dyDescent="0.55000000000000004">
      <c r="B61" s="118" t="s">
        <v>45</v>
      </c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AO61" s="87">
        <f t="shared" si="13"/>
        <v>12.399999999999988</v>
      </c>
      <c r="AP61" s="126" t="str">
        <f t="shared" si="2"/>
        <v>0.0001-3.07161290322581i</v>
      </c>
      <c r="AQ61" s="105" t="str">
        <f t="shared" si="3"/>
        <v>0.000001-0.196109750974723i</v>
      </c>
      <c r="AR61" s="105" t="str">
        <f t="shared" si="4"/>
        <v>0.0243176091208656+30.1538353098733i</v>
      </c>
      <c r="AS61" s="93" t="str">
        <f t="shared" si="14"/>
        <v>19.8528960862747+0.0001i</v>
      </c>
      <c r="AU61" s="87" t="str">
        <f t="shared" si="5"/>
        <v>0.0243186091208656+29.9577255588986i</v>
      </c>
      <c r="AV61" s="87" t="str">
        <f t="shared" si="6"/>
        <v>0.479799047283387+594.74761493381i</v>
      </c>
      <c r="AW61" s="87" t="str">
        <f t="shared" si="7"/>
        <v>19.8772146953956+29.9578255588986i</v>
      </c>
      <c r="AX61" s="87" t="str">
        <f t="shared" si="8"/>
        <v>13.7917588501939+9.13490707485125i</v>
      </c>
      <c r="AY61" s="87" t="str">
        <f t="shared" si="9"/>
        <v>13.7918588501939+6.06329417162544i</v>
      </c>
      <c r="AZ61" s="87">
        <f t="shared" si="10"/>
        <v>12.399999999999988</v>
      </c>
      <c r="BA61" s="87">
        <f t="shared" si="11"/>
        <v>15.065819153147261</v>
      </c>
    </row>
    <row r="62" spans="2:53" s="87" customFormat="1" ht="19.5" customHeight="1" x14ac:dyDescent="0.4">
      <c r="B62" s="175" t="str">
        <f>"C High-Pass Filter Design - Stage/Branch: "&amp;$I$9&amp;", Tuning Point: "&amp;FIXED($D$10,2)&amp;", Reference: "&amp;$I$8</f>
        <v>C High-Pass Filter Design - Stage/Branch: Branch/Stage #, Tuning Point: 4.08, Reference: Enter Job Name</v>
      </c>
      <c r="C62" s="120"/>
      <c r="D62" s="120"/>
      <c r="E62" s="120"/>
      <c r="F62" s="120"/>
      <c r="G62" s="174"/>
      <c r="H62" s="174"/>
      <c r="I62" s="174"/>
      <c r="J62" s="174"/>
      <c r="K62" s="174"/>
      <c r="L62" s="137" t="s">
        <v>171</v>
      </c>
      <c r="AO62" s="87">
        <f t="shared" si="13"/>
        <v>12.599999999999987</v>
      </c>
      <c r="AP62" s="126" t="str">
        <f t="shared" si="2"/>
        <v>0.0001-3.02285714285715i</v>
      </c>
      <c r="AQ62" s="105" t="str">
        <f t="shared" si="3"/>
        <v>0.000001-0.192996897784648i</v>
      </c>
      <c r="AR62" s="105" t="str">
        <f t="shared" si="4"/>
        <v>0.0243176091208656+30.6401874922906i</v>
      </c>
      <c r="AS62" s="93" t="str">
        <f t="shared" si="14"/>
        <v>19.8528960862747+0.0001i</v>
      </c>
      <c r="AU62" s="87" t="str">
        <f t="shared" si="5"/>
        <v>0.0243186091208656+30.447190594506i</v>
      </c>
      <c r="AV62" s="87" t="str">
        <f t="shared" si="6"/>
        <v>0.479750100779826+604.464913423589i</v>
      </c>
      <c r="AW62" s="87" t="str">
        <f t="shared" si="7"/>
        <v>19.8772146953956+30.447290594506i</v>
      </c>
      <c r="AX62" s="87" t="str">
        <f t="shared" si="8"/>
        <v>13.9272986927243+9.07654345412494i</v>
      </c>
      <c r="AY62" s="87" t="str">
        <f t="shared" si="9"/>
        <v>13.9273986927243+6.05368631126779i</v>
      </c>
      <c r="AZ62" s="87">
        <f t="shared" si="10"/>
        <v>12.599999999999987</v>
      </c>
      <c r="BA62" s="87">
        <f t="shared" si="11"/>
        <v>15.18616318565455</v>
      </c>
    </row>
    <row r="63" spans="2:53" s="87" customFormat="1" ht="26.25" customHeight="1" x14ac:dyDescent="0.25">
      <c r="B63" s="109"/>
      <c r="C63" s="101"/>
      <c r="D63" s="108"/>
      <c r="E63" s="101"/>
      <c r="AO63" s="87">
        <f t="shared" si="13"/>
        <v>12.799999999999986</v>
      </c>
      <c r="AP63" s="126" t="str">
        <f t="shared" si="2"/>
        <v>0.0001-2.975625i</v>
      </c>
      <c r="AQ63" s="105" t="str">
        <f t="shared" si="3"/>
        <v>0.000001-0.189981321256763i</v>
      </c>
      <c r="AR63" s="105" t="str">
        <f t="shared" si="4"/>
        <v>0.0243176091208656+31.1265396747079i</v>
      </c>
      <c r="AS63" s="93" t="str">
        <f t="shared" si="14"/>
        <v>19.8528960862747+0.0001i</v>
      </c>
      <c r="AU63" s="87" t="str">
        <f t="shared" si="5"/>
        <v>0.0243186091208656+30.9365583534511i</v>
      </c>
      <c r="AV63" s="87" t="str">
        <f t="shared" si="6"/>
        <v>0.479701164003932+614.180280689899i</v>
      </c>
      <c r="AW63" s="87" t="str">
        <f t="shared" si="7"/>
        <v>19.8772146953956+30.9366583534511i</v>
      </c>
      <c r="AX63" s="87" t="str">
        <f t="shared" si="8"/>
        <v>14.0589371883064+9.01754832502536i</v>
      </c>
      <c r="AY63" s="87" t="str">
        <f t="shared" si="9"/>
        <v>14.0590371883064+6.04192332502536i</v>
      </c>
      <c r="AZ63" s="87">
        <f t="shared" si="10"/>
        <v>12.799999999999986</v>
      </c>
      <c r="BA63" s="87">
        <f t="shared" si="11"/>
        <v>15.3023319833177</v>
      </c>
    </row>
    <row r="64" spans="2:53" ht="26.25" customHeight="1" x14ac:dyDescent="0.35">
      <c r="B64" s="40" t="s">
        <v>102</v>
      </c>
      <c r="C64" s="39"/>
      <c r="D64" s="39"/>
      <c r="E64" s="39"/>
      <c r="F64" s="39"/>
      <c r="G64" s="10"/>
      <c r="H64" s="10"/>
      <c r="I64" s="10"/>
      <c r="J64" s="10"/>
      <c r="K64" s="10"/>
      <c r="L64" s="10"/>
      <c r="AO64" s="87">
        <f t="shared" si="13"/>
        <v>12.999999999999986</v>
      </c>
      <c r="AP64" s="126" t="str">
        <f t="shared" si="2"/>
        <v>0.0001-2.92984615384616i</v>
      </c>
      <c r="AQ64" s="105" t="str">
        <f t="shared" si="3"/>
        <v>0.000001-0.187058531698966i</v>
      </c>
      <c r="AR64" s="105" t="str">
        <f t="shared" si="4"/>
        <v>0.0243176091208656+31.6128918571252i</v>
      </c>
      <c r="AS64" s="93" t="str">
        <f t="shared" si="14"/>
        <v>19.8528960862747+0.0001i</v>
      </c>
      <c r="AT64" s="87"/>
      <c r="AU64" s="87" t="str">
        <f t="shared" si="5"/>
        <v>0.0243186091208656+31.4258333254262i</v>
      </c>
      <c r="AV64" s="87" t="str">
        <f t="shared" si="6"/>
        <v>0.479652236506734+623.893805866136i</v>
      </c>
      <c r="AW64" s="87" t="str">
        <f t="shared" si="7"/>
        <v>19.8772146953956+31.4259333254262i</v>
      </c>
      <c r="AX64" s="87" t="str">
        <f t="shared" si="8"/>
        <v>14.1867934627092+8.95802470990514i</v>
      </c>
      <c r="AY64" s="87" t="str">
        <f t="shared" si="9"/>
        <v>14.1868934627092+6.02817855605898i</v>
      </c>
      <c r="AZ64" s="87">
        <f t="shared" si="10"/>
        <v>12.999999999999986</v>
      </c>
      <c r="BA64" s="87">
        <f t="shared" si="11"/>
        <v>15.414502354146576</v>
      </c>
    </row>
    <row r="65" spans="2:53" x14ac:dyDescent="0.25">
      <c r="B65" s="221" t="s">
        <v>267</v>
      </c>
      <c r="C65" s="116"/>
      <c r="D65" s="296" t="s">
        <v>269</v>
      </c>
      <c r="E65" s="296"/>
      <c r="F65" s="296"/>
      <c r="G65" s="296"/>
      <c r="H65" s="296"/>
      <c r="I65" s="296"/>
      <c r="J65" s="11"/>
      <c r="K65" s="11"/>
      <c r="L65" s="11"/>
      <c r="AO65" s="87">
        <f t="shared" si="13"/>
        <v>13.199999999999985</v>
      </c>
      <c r="AP65" s="126" t="str">
        <f t="shared" si="2"/>
        <v>0.0001-2.88545454545455i</v>
      </c>
      <c r="AQ65" s="105" t="str">
        <f t="shared" si="3"/>
        <v>0.000001-0.184224311521709i</v>
      </c>
      <c r="AR65" s="105" t="str">
        <f t="shared" si="4"/>
        <v>0.0243176091208656+32.0992440395425i</v>
      </c>
      <c r="AS65" s="93" t="str">
        <f t="shared" si="14"/>
        <v>19.8528960862747+0.0001i</v>
      </c>
      <c r="AT65" s="87"/>
      <c r="AU65" s="87" t="str">
        <f t="shared" si="5"/>
        <v>0.0243186091208656+31.9150197280208i</v>
      </c>
      <c r="AV65" s="87" t="str">
        <f t="shared" si="6"/>
        <v>0.479603317866475+633.605572683665i</v>
      </c>
      <c r="AW65" s="87" t="str">
        <f t="shared" si="7"/>
        <v>19.8772146953956+31.9151197280208i</v>
      </c>
      <c r="AX65" s="87" t="str">
        <f t="shared" si="8"/>
        <v>14.3109840340032+8.89806778882497i</v>
      </c>
      <c r="AY65" s="87" t="str">
        <f t="shared" si="9"/>
        <v>14.3110840340032+6.01261324337042i</v>
      </c>
      <c r="AZ65" s="87">
        <f t="shared" si="10"/>
        <v>13.199999999999985</v>
      </c>
      <c r="BA65" s="87">
        <f t="shared" si="11"/>
        <v>15.5228426598563</v>
      </c>
    </row>
    <row r="66" spans="2:53" s="87" customFormat="1" x14ac:dyDescent="0.25">
      <c r="B66" s="221"/>
      <c r="C66" s="116"/>
      <c r="D66" s="298" t="s">
        <v>276</v>
      </c>
      <c r="E66" s="298"/>
      <c r="F66" s="298"/>
      <c r="G66" s="227"/>
      <c r="H66" s="227"/>
      <c r="I66" s="298" t="s">
        <v>276</v>
      </c>
      <c r="J66" s="298"/>
      <c r="K66" s="298"/>
      <c r="L66" s="97"/>
      <c r="AP66" s="126"/>
      <c r="AQ66" s="105"/>
      <c r="AR66" s="105"/>
      <c r="AS66" s="93"/>
    </row>
    <row r="67" spans="2:53" ht="45" x14ac:dyDescent="0.25">
      <c r="B67" s="32"/>
      <c r="C67" s="32"/>
      <c r="D67" s="234" t="s">
        <v>280</v>
      </c>
      <c r="E67" s="232" t="s">
        <v>283</v>
      </c>
      <c r="F67" s="235" t="s">
        <v>282</v>
      </c>
      <c r="I67" s="234" t="s">
        <v>280</v>
      </c>
      <c r="J67" s="327" t="s">
        <v>283</v>
      </c>
      <c r="K67" s="327"/>
      <c r="L67" s="235" t="s">
        <v>282</v>
      </c>
      <c r="S67" s="34">
        <f>D49</f>
        <v>1</v>
      </c>
      <c r="AO67" s="87">
        <f>AO65+0.2</f>
        <v>13.399999999999984</v>
      </c>
      <c r="AP67" s="126" t="str">
        <f t="shared" si="2"/>
        <v>0.0001-2.8423880597015i</v>
      </c>
      <c r="AQ67" s="105" t="str">
        <f t="shared" si="3"/>
        <v>0.000001-0.181474694931833i</v>
      </c>
      <c r="AR67" s="105" t="str">
        <f t="shared" si="4"/>
        <v>0.0243176091208656+32.5855962219598i</v>
      </c>
      <c r="AS67" s="93" t="str">
        <f t="shared" ref="AS67:AS98" si="15">COMPLEX($D$17,0.0001)</f>
        <v>19.8528960862747+0.0001i</v>
      </c>
      <c r="AT67" s="87"/>
      <c r="AU67" s="87" t="str">
        <f t="shared" si="5"/>
        <v>0.0243186091208656+32.404121527028i</v>
      </c>
      <c r="AV67" s="87" t="str">
        <f t="shared" si="6"/>
        <v>0.479554407686574+643.315659874965i</v>
      </c>
      <c r="AW67" s="87" t="str">
        <f t="shared" si="7"/>
        <v>19.8772146953956+32.404221527028i</v>
      </c>
      <c r="AX67" s="87" t="str">
        <f t="shared" si="8"/>
        <v>14.431622706099+8.83776542156775i</v>
      </c>
      <c r="AY67" s="87" t="str">
        <f t="shared" si="9"/>
        <v>14.431722706099+5.99537736186625i</v>
      </c>
      <c r="AZ67" s="87">
        <f t="shared" si="10"/>
        <v>13.399999999999984</v>
      </c>
      <c r="BA67" s="87">
        <f t="shared" si="11"/>
        <v>15.627513237137629</v>
      </c>
    </row>
    <row r="68" spans="2:53" ht="28.5" customHeight="1" x14ac:dyDescent="0.25">
      <c r="B68" s="37" t="s">
        <v>91</v>
      </c>
      <c r="C68" s="32"/>
      <c r="D68" s="38">
        <f>D56/(S67)</f>
        <v>0.51094530064021326</v>
      </c>
      <c r="E68" s="230">
        <f>SQRT(SUM(S98*1.1*1.1,T98:AH98))/1000/(S67)</f>
        <v>0.56172436247810664</v>
      </c>
      <c r="F68" s="111">
        <f>IF(LEFT(D65,2)="SD",1.1,1.25)</f>
        <v>1.25</v>
      </c>
      <c r="H68" s="37" t="s">
        <v>93</v>
      </c>
      <c r="I68" s="35">
        <f>D58/S69</f>
        <v>0.5491636783082976</v>
      </c>
      <c r="J68" s="328">
        <f>SQRT(SUM(S99*1.1*1.1,T99:AH99))/D51/S69</f>
        <v>0.59669917439880593</v>
      </c>
      <c r="K68" s="328"/>
      <c r="L68" s="33">
        <v>1.35</v>
      </c>
      <c r="S68" s="34">
        <f>1.414*S67</f>
        <v>1.4139999999999999</v>
      </c>
      <c r="AO68" s="87">
        <f t="shared" si="13"/>
        <v>13.599999999999984</v>
      </c>
      <c r="AP68" s="126" t="str">
        <f t="shared" si="2"/>
        <v>0.0001-2.80058823529412i</v>
      </c>
      <c r="AQ68" s="105" t="str">
        <f t="shared" si="3"/>
        <v>0.000001-0.178805949418129i</v>
      </c>
      <c r="AR68" s="105" t="str">
        <f t="shared" si="4"/>
        <v>0.0243176091208656+33.0719484043771i</v>
      </c>
      <c r="AS68" s="93" t="str">
        <f t="shared" si="15"/>
        <v>19.8528960862747+0.0001i</v>
      </c>
      <c r="AT68" s="87"/>
      <c r="AU68" s="87" t="str">
        <f t="shared" si="5"/>
        <v>0.0243186091208656+32.893142454959i</v>
      </c>
      <c r="AV68" s="87" t="str">
        <f t="shared" si="6"/>
        <v>0.479505505593781+653.024141541193i</v>
      </c>
      <c r="AW68" s="87" t="str">
        <f t="shared" si="7"/>
        <v>19.8772146953956+32.893242454959i</v>
      </c>
      <c r="AX68" s="87" t="str">
        <f t="shared" si="8"/>
        <v>14.5488204886574+8.77719863912941i</v>
      </c>
      <c r="AY68" s="87" t="str">
        <f t="shared" si="9"/>
        <v>14.5489204886574+5.97661040383529i</v>
      </c>
      <c r="AZ68" s="87">
        <f t="shared" si="10"/>
        <v>13.599999999999984</v>
      </c>
      <c r="BA68" s="87">
        <f t="shared" si="11"/>
        <v>15.728666799970915</v>
      </c>
    </row>
    <row r="69" spans="2:53" ht="27" customHeight="1" x14ac:dyDescent="0.25">
      <c r="B69" s="56" t="s">
        <v>92</v>
      </c>
      <c r="C69" s="57"/>
      <c r="D69" s="58">
        <f>D57/(S68)</f>
        <v>0.55037775808765488</v>
      </c>
      <c r="E69" s="231">
        <f>D69+0.1</f>
        <v>0.65037775808765486</v>
      </c>
      <c r="F69" s="132">
        <f>IF(LEFT(D65,2)="SD",1.2,1.35)</f>
        <v>1.35</v>
      </c>
      <c r="G69" s="96"/>
      <c r="H69" s="60" t="s">
        <v>94</v>
      </c>
      <c r="I69" s="61">
        <f>D59/S70</f>
        <v>0.26781770780078146</v>
      </c>
      <c r="J69" s="303">
        <f>SUM(S100*1.1*1.1,T100:AH100)/S70</f>
        <v>0.32228686695589903</v>
      </c>
      <c r="K69" s="303"/>
      <c r="L69" s="59">
        <v>1.35</v>
      </c>
      <c r="S69" s="34">
        <f>D52/D49</f>
        <v>68.537439613526544</v>
      </c>
      <c r="AO69" s="87">
        <f t="shared" si="13"/>
        <v>13.799999999999983</v>
      </c>
      <c r="AP69" s="126" t="str">
        <f t="shared" si="2"/>
        <v>0.0001-2.76i</v>
      </c>
      <c r="AQ69" s="105" t="str">
        <f t="shared" si="3"/>
        <v>0.000001-0.176214558846852i</v>
      </c>
      <c r="AR69" s="105" t="str">
        <f t="shared" si="4"/>
        <v>0.0243176091208656+33.5583005867945i</v>
      </c>
      <c r="AS69" s="93" t="str">
        <f t="shared" si="15"/>
        <v>19.8528960862747+0.0001i</v>
      </c>
      <c r="AT69" s="87"/>
      <c r="AU69" s="87" t="str">
        <f t="shared" si="5"/>
        <v>0.0243186091208656+33.3820860279477i</v>
      </c>
      <c r="AV69" s="87" t="str">
        <f t="shared" si="6"/>
        <v>0.479456611236482+662.731087487789i</v>
      </c>
      <c r="AW69" s="87" t="str">
        <f t="shared" si="7"/>
        <v>19.8772146953956+33.3821860279477i</v>
      </c>
      <c r="AX69" s="87" t="str">
        <f t="shared" si="8"/>
        <v>14.6626855401058+8.71644210588587i</v>
      </c>
      <c r="AY69" s="87" t="str">
        <f t="shared" si="9"/>
        <v>14.6627855401058+5.95644210588587i</v>
      </c>
      <c r="AZ69" s="87">
        <f t="shared" si="10"/>
        <v>13.799999999999983</v>
      </c>
      <c r="BA69" s="87">
        <f t="shared" si="11"/>
        <v>15.826448823280156</v>
      </c>
    </row>
    <row r="70" spans="2:53" ht="27" customHeight="1" x14ac:dyDescent="0.25">
      <c r="C70" s="32"/>
      <c r="S70" s="36">
        <f>D51*D52</f>
        <v>411.22463768115927</v>
      </c>
      <c r="AO70" s="87">
        <f t="shared" si="13"/>
        <v>13.999999999999982</v>
      </c>
      <c r="AP70" s="126" t="str">
        <f t="shared" ref="AP70:AP133" si="16">COMPLEX(0.0001,-1*$D$22/AO70)</f>
        <v>0.0001-2.72057142857143i</v>
      </c>
      <c r="AQ70" s="105" t="str">
        <f t="shared" ref="AQ70:AQ133" si="17">COMPLEX(0.000001,-1*$D$23/AO70)</f>
        <v>0.000001-0.173697208006183i</v>
      </c>
      <c r="AR70" s="105" t="str">
        <f t="shared" ref="AR70:AR133" si="18">COMPLEX($D$24/$D$26,$D$24*AO70)</f>
        <v>0.0243176091208656+34.0446527692118i</v>
      </c>
      <c r="AS70" s="93" t="str">
        <f t="shared" si="15"/>
        <v>19.8528960862747+0.0001i</v>
      </c>
      <c r="AT70" s="87"/>
      <c r="AU70" s="87" t="str">
        <f t="shared" ref="AU70:AU133" si="19">IMSUM(AR70,AQ70)</f>
        <v>0.0243186091208656+33.8709555612056i</v>
      </c>
      <c r="AV70" s="87" t="str">
        <f t="shared" ref="AV70:AV133" si="20">IMPRODUCT(AU70,AS70)</f>
        <v>0.479407724283156+672.436563531304i</v>
      </c>
      <c r="AW70" s="87" t="str">
        <f t="shared" ref="AW70:AW133" si="21">IMSUM(AS70,AU70)</f>
        <v>19.8772146953956+33.8710555612056i</v>
      </c>
      <c r="AX70" s="87" t="str">
        <f t="shared" ref="AX70:AX133" si="22">IMDIV(AV70,AW70)</f>
        <v>14.7733231308243+8.65556455368792i</v>
      </c>
      <c r="AY70" s="87" t="str">
        <f t="shared" ref="AY70:AY133" si="23">IMSUM(AX70,AP70)</f>
        <v>14.7734231308243+5.93499312511649i</v>
      </c>
      <c r="AZ70" s="87">
        <f t="shared" ref="AZ70:AZ133" si="24">AO70</f>
        <v>13.999999999999982</v>
      </c>
      <c r="BA70" s="87">
        <f t="shared" ref="BA70:BA133" si="25">IMABS(AY70)</f>
        <v>15.920997908345898</v>
      </c>
    </row>
    <row r="71" spans="2:53" ht="12.75" customHeight="1" x14ac:dyDescent="0.25">
      <c r="AO71" s="87">
        <f t="shared" si="13"/>
        <v>14.199999999999982</v>
      </c>
      <c r="AP71" s="126" t="str">
        <f t="shared" si="16"/>
        <v>0.0001-2.68225352112676i</v>
      </c>
      <c r="AQ71" s="105" t="str">
        <f t="shared" si="17"/>
        <v>0.000001-0.1712507684568i</v>
      </c>
      <c r="AR71" s="105" t="str">
        <f t="shared" si="18"/>
        <v>0.0243176091208656+34.5310049516291i</v>
      </c>
      <c r="AS71" s="93" t="str">
        <f t="shared" si="15"/>
        <v>19.8528960862747+0.0001i</v>
      </c>
      <c r="AT71" s="87"/>
      <c r="AU71" s="87" t="str">
        <f t="shared" si="19"/>
        <v>0.0243186091208656+34.3597541831723i</v>
      </c>
      <c r="AV71" s="87" t="str">
        <f t="shared" si="20"/>
        <v>0.47935884442096+682.140631780323i</v>
      </c>
      <c r="AW71" s="87" t="str">
        <f t="shared" si="21"/>
        <v>19.8772146953956+34.3598541831723i</v>
      </c>
      <c r="AX71" s="87" t="str">
        <f t="shared" si="22"/>
        <v>14.8808356238712+8.59462918916534i</v>
      </c>
      <c r="AY71" s="87" t="str">
        <f t="shared" si="23"/>
        <v>14.8809356238712+5.91237566803858i</v>
      </c>
      <c r="AZ71" s="87">
        <f t="shared" si="24"/>
        <v>14.199999999999982</v>
      </c>
      <c r="BA71" s="87">
        <f t="shared" si="25"/>
        <v>16.012446130489042</v>
      </c>
    </row>
    <row r="72" spans="2:53" x14ac:dyDescent="0.25">
      <c r="B72" s="23"/>
      <c r="D72" s="5"/>
      <c r="AO72" s="87">
        <f t="shared" si="13"/>
        <v>14.399999999999981</v>
      </c>
      <c r="AP72" s="126" t="str">
        <f t="shared" si="16"/>
        <v>0.0001-2.645i</v>
      </c>
      <c r="AQ72" s="105" t="str">
        <f t="shared" si="17"/>
        <v>0.000001-0.168872285561567i</v>
      </c>
      <c r="AR72" s="105" t="str">
        <f t="shared" si="18"/>
        <v>0.0243176091208656+35.0173571340464i</v>
      </c>
      <c r="AS72" s="93" t="str">
        <f t="shared" si="15"/>
        <v>19.8528960862747+0.0001i</v>
      </c>
      <c r="AT72" s="87"/>
      <c r="AU72" s="87" t="str">
        <f t="shared" si="19"/>
        <v>0.0243186091208656+34.8484848484848i</v>
      </c>
      <c r="AV72" s="87" t="str">
        <f t="shared" si="20"/>
        <v>0.479309971354428+691.843350892948i</v>
      </c>
      <c r="AW72" s="87" t="str">
        <f t="shared" si="21"/>
        <v>19.8772146953956+34.8485848484848i</v>
      </c>
      <c r="AX72" s="87" t="str">
        <f t="shared" si="22"/>
        <v>14.9853224708903+8.53369407553429i</v>
      </c>
      <c r="AY72" s="87" t="str">
        <f t="shared" si="23"/>
        <v>14.9854224708903+5.88869407553429i</v>
      </c>
      <c r="AZ72" s="87">
        <f t="shared" si="24"/>
        <v>14.399999999999981</v>
      </c>
      <c r="BA72" s="87">
        <f t="shared" si="25"/>
        <v>16.100919369598017</v>
      </c>
    </row>
    <row r="73" spans="2:53" x14ac:dyDescent="0.25">
      <c r="B73" s="23"/>
      <c r="D73" s="5"/>
      <c r="AO73" s="87">
        <f t="shared" si="13"/>
        <v>14.59999999999998</v>
      </c>
      <c r="AP73" s="126" t="str">
        <f t="shared" si="16"/>
        <v>0.0001-2.60876712328768i</v>
      </c>
      <c r="AQ73" s="105" t="str">
        <f t="shared" si="17"/>
        <v>0.000001-0.166558966581271i</v>
      </c>
      <c r="AR73" s="105" t="str">
        <f t="shared" si="18"/>
        <v>0.0243176091208656+35.5037093164637i</v>
      </c>
      <c r="AS73" s="93" t="str">
        <f t="shared" si="15"/>
        <v>19.8528960862747+0.0001i</v>
      </c>
      <c r="AT73" s="87"/>
      <c r="AU73" s="87" t="str">
        <f t="shared" si="19"/>
        <v>0.0243186091208656+35.3371503498824i</v>
      </c>
      <c r="AV73" s="87" t="str">
        <f t="shared" si="20"/>
        <v>0.479261104804289+701.544776313142i</v>
      </c>
      <c r="AW73" s="87" t="str">
        <f t="shared" si="21"/>
        <v>19.8772146953956+35.3372503498824i</v>
      </c>
      <c r="AX73" s="87" t="str">
        <f t="shared" si="22"/>
        <v>15.0868802210991+8.47281249019694i</v>
      </c>
      <c r="AY73" s="87" t="str">
        <f t="shared" si="23"/>
        <v>15.0869802210991+5.86404536690926i</v>
      </c>
      <c r="AZ73" s="87">
        <f t="shared" si="24"/>
        <v>14.59999999999998</v>
      </c>
      <c r="BA73" s="87">
        <f t="shared" si="25"/>
        <v>16.18653762411855</v>
      </c>
    </row>
    <row r="74" spans="2:53" x14ac:dyDescent="0.25">
      <c r="B74" s="23"/>
      <c r="D74" s="5"/>
      <c r="Q74" s="28"/>
      <c r="R74" s="28"/>
      <c r="S74" s="28">
        <f t="shared" ref="S74:Z74" si="26">D75</f>
        <v>1</v>
      </c>
      <c r="T74" s="28">
        <f t="shared" si="26"/>
        <v>2</v>
      </c>
      <c r="U74" s="28">
        <f t="shared" si="26"/>
        <v>3</v>
      </c>
      <c r="V74" s="28">
        <f t="shared" si="26"/>
        <v>4</v>
      </c>
      <c r="W74" s="28">
        <f t="shared" si="26"/>
        <v>5</v>
      </c>
      <c r="X74" s="28">
        <f t="shared" si="26"/>
        <v>7</v>
      </c>
      <c r="Y74" s="28">
        <f t="shared" si="26"/>
        <v>11</v>
      </c>
      <c r="Z74" s="28">
        <f t="shared" si="26"/>
        <v>13</v>
      </c>
      <c r="AA74" s="28"/>
      <c r="AB74" s="28"/>
      <c r="AC74" s="28"/>
      <c r="AD74" s="28"/>
      <c r="AO74" s="87">
        <f t="shared" si="13"/>
        <v>14.799999999999979</v>
      </c>
      <c r="AP74" s="126" t="str">
        <f t="shared" si="16"/>
        <v>0.0001-2.57351351351352i</v>
      </c>
      <c r="AQ74" s="105" t="str">
        <f t="shared" si="17"/>
        <v>0.000001-0.164308169735578i</v>
      </c>
      <c r="AR74" s="105" t="str">
        <f t="shared" si="18"/>
        <v>0.0243176091208656+35.990061498881i</v>
      </c>
      <c r="AS74" s="93" t="str">
        <f t="shared" si="15"/>
        <v>19.8528960862747+0.0001i</v>
      </c>
      <c r="AT74" s="87"/>
      <c r="AU74" s="87" t="str">
        <f t="shared" si="19"/>
        <v>0.0243186091208656+35.8257533291454i</v>
      </c>
      <c r="AV74" s="87" t="str">
        <f t="shared" si="20"/>
        <v>0.479212244506362+711.244960487894i</v>
      </c>
      <c r="AW74" s="87" t="str">
        <f t="shared" si="21"/>
        <v>19.8772146953956+35.8258533291454i</v>
      </c>
      <c r="AX74" s="87" t="str">
        <f t="shared" si="22"/>
        <v>15.1856025414816+8.41203325940871i</v>
      </c>
      <c r="AY74" s="87" t="str">
        <f t="shared" si="23"/>
        <v>15.1857025414816+5.83851974589519i</v>
      </c>
      <c r="AZ74" s="87">
        <f t="shared" si="24"/>
        <v>14.799999999999979</v>
      </c>
      <c r="BA74" s="87">
        <f t="shared" si="25"/>
        <v>16.269415309148904</v>
      </c>
    </row>
    <row r="75" spans="2:53" x14ac:dyDescent="0.25">
      <c r="B75" s="4" t="s">
        <v>31</v>
      </c>
      <c r="D75" s="3">
        <v>1</v>
      </c>
      <c r="E75" s="98">
        <v>2</v>
      </c>
      <c r="F75" s="98">
        <v>3</v>
      </c>
      <c r="G75" s="98">
        <v>4</v>
      </c>
      <c r="H75" s="98">
        <v>5</v>
      </c>
      <c r="I75" s="98">
        <v>7</v>
      </c>
      <c r="J75" s="98">
        <v>11</v>
      </c>
      <c r="K75" s="98">
        <v>13</v>
      </c>
      <c r="Q75" s="28" t="s">
        <v>57</v>
      </c>
      <c r="R75" s="28"/>
      <c r="S75" s="28">
        <f t="shared" ref="S75:Z75" si="27">D77^2</f>
        <v>63630592.40201813</v>
      </c>
      <c r="T75" s="28">
        <f t="shared" si="27"/>
        <v>0</v>
      </c>
      <c r="U75" s="28">
        <f t="shared" si="27"/>
        <v>0</v>
      </c>
      <c r="V75" s="28">
        <f t="shared" si="27"/>
        <v>0</v>
      </c>
      <c r="W75" s="28">
        <f t="shared" si="27"/>
        <v>557299.27701504016</v>
      </c>
      <c r="X75" s="28">
        <f t="shared" si="27"/>
        <v>0</v>
      </c>
      <c r="Y75" s="28">
        <f t="shared" si="27"/>
        <v>0</v>
      </c>
      <c r="Z75" s="28">
        <f t="shared" si="27"/>
        <v>0</v>
      </c>
      <c r="AA75" s="28"/>
      <c r="AB75" s="28"/>
      <c r="AC75" s="28"/>
      <c r="AD75" s="28"/>
      <c r="AE75" s="28"/>
      <c r="AF75" s="28"/>
      <c r="AG75" s="28"/>
      <c r="AH75" s="28"/>
      <c r="AO75" s="87">
        <f t="shared" si="13"/>
        <v>14.999999999999979</v>
      </c>
      <c r="AP75" s="126" t="str">
        <f t="shared" si="16"/>
        <v>0.0001-2.5392i</v>
      </c>
      <c r="AQ75" s="105" t="str">
        <f t="shared" si="17"/>
        <v>0.000001-0.162117394139104i</v>
      </c>
      <c r="AR75" s="105" t="str">
        <f t="shared" si="18"/>
        <v>0.0243176091208656+36.4764136812983i</v>
      </c>
      <c r="AS75" s="93" t="str">
        <f t="shared" si="15"/>
        <v>19.8528960862747+0.0001i</v>
      </c>
      <c r="AT75" s="87"/>
      <c r="AU75" s="87" t="str">
        <f t="shared" si="19"/>
        <v>0.0243186091208656+36.3142962871592i</v>
      </c>
      <c r="AV75" s="87" t="str">
        <f t="shared" si="20"/>
        <v>0.479163390210561+720.943953067024i</v>
      </c>
      <c r="AW75" s="87" t="str">
        <f t="shared" si="21"/>
        <v>19.8772146953956+36.3143962871592i</v>
      </c>
      <c r="AX75" s="87" t="str">
        <f t="shared" si="22"/>
        <v>15.2815802465212+8.35140107126184i</v>
      </c>
      <c r="AY75" s="87" t="str">
        <f t="shared" si="23"/>
        <v>15.2816802465212+5.81220107126184i</v>
      </c>
      <c r="AZ75" s="87">
        <f t="shared" si="24"/>
        <v>14.999999999999979</v>
      </c>
      <c r="BA75" s="87">
        <f t="shared" si="25"/>
        <v>16.34966153930085</v>
      </c>
    </row>
    <row r="76" spans="2:53" ht="18" x14ac:dyDescent="0.35">
      <c r="B76" s="4" t="s">
        <v>32</v>
      </c>
      <c r="D76" s="6">
        <f>D14</f>
        <v>209.43285582642204</v>
      </c>
      <c r="E76" s="98">
        <v>0</v>
      </c>
      <c r="F76" s="98">
        <v>0</v>
      </c>
      <c r="G76" s="98">
        <v>0</v>
      </c>
      <c r="H76" s="98">
        <v>98</v>
      </c>
      <c r="I76" s="98">
        <v>0</v>
      </c>
      <c r="J76" s="98">
        <v>0</v>
      </c>
      <c r="K76" s="98">
        <v>0</v>
      </c>
      <c r="Q76" s="28" t="s">
        <v>58</v>
      </c>
      <c r="R76" s="28"/>
      <c r="S76" s="28">
        <f t="shared" ref="S76:Z76" si="28">D76*D76</f>
        <v>43862.121099610878</v>
      </c>
      <c r="T76" s="28">
        <f t="shared" si="28"/>
        <v>0</v>
      </c>
      <c r="U76" s="28">
        <f t="shared" si="28"/>
        <v>0</v>
      </c>
      <c r="V76" s="28">
        <f t="shared" si="28"/>
        <v>0</v>
      </c>
      <c r="W76" s="28">
        <f t="shared" si="28"/>
        <v>9604</v>
      </c>
      <c r="X76" s="28">
        <f t="shared" si="28"/>
        <v>0</v>
      </c>
      <c r="Y76" s="28">
        <f t="shared" si="28"/>
        <v>0</v>
      </c>
      <c r="Z76" s="28">
        <f t="shared" si="28"/>
        <v>0</v>
      </c>
      <c r="AA76" s="28"/>
      <c r="AB76" s="28"/>
      <c r="AC76" s="28"/>
      <c r="AD76" s="28"/>
      <c r="AE76" s="28"/>
      <c r="AF76" s="28"/>
      <c r="AG76" s="28"/>
      <c r="AH76" s="28"/>
      <c r="AO76" s="87">
        <f t="shared" si="13"/>
        <v>15.199999999999978</v>
      </c>
      <c r="AP76" s="126" t="str">
        <f t="shared" si="16"/>
        <v>0.0001-2.50578947368421i</v>
      </c>
      <c r="AQ76" s="105" t="str">
        <f t="shared" si="17"/>
        <v>0.000001-0.159984270532011i</v>
      </c>
      <c r="AR76" s="105" t="str">
        <f t="shared" si="18"/>
        <v>0.0243176091208656+36.9627658637156i</v>
      </c>
      <c r="AS76" s="93" t="str">
        <f t="shared" si="15"/>
        <v>19.8528960862747+0.0001i</v>
      </c>
      <c r="AT76" s="87"/>
      <c r="AU76" s="87" t="str">
        <f t="shared" si="19"/>
        <v>0.0243186091208656+36.8027815931836i</v>
      </c>
      <c r="AV76" s="87" t="str">
        <f t="shared" si="20"/>
        <v>0.479114541679959+730.641801087198i</v>
      </c>
      <c r="AW76" s="87" t="str">
        <f t="shared" si="21"/>
        <v>19.8772146953956+36.8028815931836i</v>
      </c>
      <c r="AX76" s="87" t="str">
        <f t="shared" si="22"/>
        <v>15.374901335992+8.29095676820243i</v>
      </c>
      <c r="AY76" s="87" t="str">
        <f t="shared" si="23"/>
        <v>15.375001335992+5.78516729451822i</v>
      </c>
      <c r="AZ76" s="87">
        <f t="shared" si="24"/>
        <v>15.199999999999978</v>
      </c>
      <c r="BA76" s="87">
        <f t="shared" si="25"/>
        <v>16.427380396987193</v>
      </c>
    </row>
    <row r="77" spans="2:53" ht="18" x14ac:dyDescent="0.35">
      <c r="B77" s="4" t="s">
        <v>76</v>
      </c>
      <c r="D77" s="17">
        <f>($D$22/D75)*D76</f>
        <v>7976.8786127167641</v>
      </c>
      <c r="E77" s="17">
        <f t="shared" ref="E77:K77" si="29">($D$22/E75)*E76</f>
        <v>0</v>
      </c>
      <c r="F77" s="17">
        <f t="shared" si="29"/>
        <v>0</v>
      </c>
      <c r="G77" s="17">
        <f t="shared" si="29"/>
        <v>0</v>
      </c>
      <c r="H77" s="17">
        <f t="shared" si="29"/>
        <v>746.52480000000014</v>
      </c>
      <c r="I77" s="17">
        <f t="shared" si="29"/>
        <v>0</v>
      </c>
      <c r="J77" s="17">
        <f t="shared" si="29"/>
        <v>0</v>
      </c>
      <c r="K77" s="17">
        <f t="shared" si="29"/>
        <v>0</v>
      </c>
      <c r="Q77" s="28" t="s">
        <v>80</v>
      </c>
      <c r="R77" s="28"/>
      <c r="S77" s="28">
        <f>S76*$D$22/(S74*1000)</f>
        <v>1670.6204684419795</v>
      </c>
      <c r="T77" s="28">
        <f t="shared" ref="T77:Z77" si="30">T76*$D$22/(T74*1000)</f>
        <v>0</v>
      </c>
      <c r="U77" s="28">
        <f t="shared" si="30"/>
        <v>0</v>
      </c>
      <c r="V77" s="28">
        <f t="shared" si="30"/>
        <v>0</v>
      </c>
      <c r="W77" s="28">
        <f t="shared" si="30"/>
        <v>73.159430400000005</v>
      </c>
      <c r="X77" s="28">
        <f t="shared" si="30"/>
        <v>0</v>
      </c>
      <c r="Y77" s="28">
        <f t="shared" si="30"/>
        <v>0</v>
      </c>
      <c r="Z77" s="28">
        <f t="shared" si="30"/>
        <v>0</v>
      </c>
      <c r="AA77" s="28"/>
      <c r="AB77" s="28"/>
      <c r="AC77" s="28"/>
      <c r="AD77" s="28"/>
      <c r="AE77" s="28"/>
      <c r="AF77" s="28"/>
      <c r="AG77" s="28"/>
      <c r="AH77" s="28"/>
      <c r="AO77" s="87">
        <f t="shared" si="13"/>
        <v>15.399999999999977</v>
      </c>
      <c r="AP77" s="126" t="str">
        <f t="shared" si="16"/>
        <v>0.0001-2.47324675324676i</v>
      </c>
      <c r="AQ77" s="105" t="str">
        <f t="shared" si="17"/>
        <v>0.000001-0.157906552732894i</v>
      </c>
      <c r="AR77" s="105" t="str">
        <f t="shared" si="18"/>
        <v>0.0243176091208656+37.4491180461329i</v>
      </c>
      <c r="AS77" s="93" t="str">
        <f t="shared" si="15"/>
        <v>19.8528960862747+0.0001i</v>
      </c>
      <c r="AT77" s="87"/>
      <c r="AU77" s="87" t="str">
        <f t="shared" si="19"/>
        <v>0.0243186091208656+37.2912114934i</v>
      </c>
      <c r="AV77" s="87" t="str">
        <f t="shared" si="20"/>
        <v>0.479065698689937+740.338549141624i</v>
      </c>
      <c r="AW77" s="87" t="str">
        <f t="shared" si="21"/>
        <v>19.8772146953956+37.2913114934i</v>
      </c>
      <c r="AX77" s="87" t="str">
        <f t="shared" si="22"/>
        <v>15.465651039501+8.23073762025942i</v>
      </c>
      <c r="AY77" s="87" t="str">
        <f t="shared" si="23"/>
        <v>15.465751039501+5.75749086701266i</v>
      </c>
      <c r="AZ77" s="87">
        <f t="shared" si="24"/>
        <v>15.399999999999977</v>
      </c>
      <c r="BA77" s="87">
        <f t="shared" si="25"/>
        <v>16.50267118679762</v>
      </c>
    </row>
    <row r="78" spans="2:53" ht="18" x14ac:dyDescent="0.35">
      <c r="B78" s="4" t="s">
        <v>68</v>
      </c>
      <c r="D78" s="17">
        <f t="shared" ref="D78:K79" si="31">S93</f>
        <v>209.43285582642204</v>
      </c>
      <c r="E78" s="17">
        <f t="shared" si="31"/>
        <v>0</v>
      </c>
      <c r="F78" s="17">
        <f t="shared" si="31"/>
        <v>0</v>
      </c>
      <c r="G78" s="17">
        <f t="shared" si="31"/>
        <v>0</v>
      </c>
      <c r="H78" s="17">
        <f t="shared" si="31"/>
        <v>84.480191654712925</v>
      </c>
      <c r="I78" s="17">
        <f t="shared" si="31"/>
        <v>0</v>
      </c>
      <c r="J78" s="17">
        <f t="shared" si="31"/>
        <v>0</v>
      </c>
      <c r="K78" s="17">
        <f t="shared" si="31"/>
        <v>0</v>
      </c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O78" s="87">
        <f t="shared" si="13"/>
        <v>15.599999999999977</v>
      </c>
      <c r="AP78" s="126" t="str">
        <f t="shared" si="16"/>
        <v>0.0001-2.44153846153847i</v>
      </c>
      <c r="AQ78" s="105" t="str">
        <f t="shared" si="17"/>
        <v>0.000001-0.155882109749139i</v>
      </c>
      <c r="AR78" s="105" t="str">
        <f t="shared" si="18"/>
        <v>0.0243176091208656+37.9354702285502i</v>
      </c>
      <c r="AS78" s="93" t="str">
        <f t="shared" si="15"/>
        <v>19.8528960862747+0.0001i</v>
      </c>
      <c r="AT78" s="87"/>
      <c r="AU78" s="87" t="str">
        <f t="shared" si="19"/>
        <v>0.0243186091208656+37.7795881188011i</v>
      </c>
      <c r="AV78" s="87" t="str">
        <f t="shared" si="20"/>
        <v>0.479016861027397+750.034239536677i</v>
      </c>
      <c r="AW78" s="87" t="str">
        <f t="shared" si="21"/>
        <v>19.8772146953956+37.7796881188011i</v>
      </c>
      <c r="AX78" s="87" t="str">
        <f t="shared" si="22"/>
        <v>15.5539118666216+8.1707775801212i</v>
      </c>
      <c r="AY78" s="87" t="str">
        <f t="shared" si="23"/>
        <v>15.5540118666216+5.72923911858273i</v>
      </c>
      <c r="AZ78" s="87">
        <f t="shared" si="24"/>
        <v>15.599999999999977</v>
      </c>
      <c r="BA78" s="87">
        <f t="shared" si="25"/>
        <v>16.575628676611462</v>
      </c>
    </row>
    <row r="79" spans="2:53" ht="18" x14ac:dyDescent="0.35">
      <c r="B79" s="4" t="s">
        <v>69</v>
      </c>
      <c r="D79" s="2">
        <f t="shared" si="31"/>
        <v>0</v>
      </c>
      <c r="E79" s="2">
        <f t="shared" si="31"/>
        <v>0</v>
      </c>
      <c r="F79" s="2">
        <f t="shared" si="31"/>
        <v>0</v>
      </c>
      <c r="G79" s="2">
        <f t="shared" si="31"/>
        <v>0</v>
      </c>
      <c r="H79" s="2">
        <f t="shared" si="31"/>
        <v>49.669882403554887</v>
      </c>
      <c r="I79" s="2">
        <f t="shared" si="31"/>
        <v>0</v>
      </c>
      <c r="J79" s="2">
        <f t="shared" si="31"/>
        <v>0</v>
      </c>
      <c r="K79" s="2">
        <f t="shared" si="31"/>
        <v>0</v>
      </c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O79" s="87">
        <f t="shared" si="13"/>
        <v>15.799999999999976</v>
      </c>
      <c r="AP79" s="126" t="str">
        <f t="shared" si="16"/>
        <v>0.0001-2.41063291139241i</v>
      </c>
      <c r="AQ79" s="105" t="str">
        <f t="shared" si="17"/>
        <v>0.000001-0.153908918486491i</v>
      </c>
      <c r="AR79" s="105" t="str">
        <f t="shared" si="18"/>
        <v>0.0243176091208656+38.4218224109676i</v>
      </c>
      <c r="AS79" s="93" t="str">
        <f t="shared" si="15"/>
        <v>19.8528960862747+0.0001i</v>
      </c>
      <c r="AT79" s="87"/>
      <c r="AU79" s="87" t="str">
        <f t="shared" si="19"/>
        <v>0.0243186091208656+38.2679134924811i</v>
      </c>
      <c r="AV79" s="87" t="str">
        <f t="shared" si="20"/>
        <v>0.478968028490029+759.728912436638i</v>
      </c>
      <c r="AW79" s="87" t="str">
        <f t="shared" si="21"/>
        <v>19.8772146953956+38.2680134924811i</v>
      </c>
      <c r="AX79" s="87" t="str">
        <f t="shared" si="22"/>
        <v>15.639763661599+8.11110752115071i</v>
      </c>
      <c r="AY79" s="87" t="str">
        <f t="shared" si="23"/>
        <v>15.639863661599+5.7004746097583i</v>
      </c>
      <c r="AZ79" s="87">
        <f t="shared" si="24"/>
        <v>15.799999999999976</v>
      </c>
      <c r="BA79" s="87">
        <f t="shared" si="25"/>
        <v>16.64634332608528</v>
      </c>
    </row>
    <row r="80" spans="2:53" x14ac:dyDescent="0.25">
      <c r="B80" s="91" t="s">
        <v>285</v>
      </c>
      <c r="C80" s="87"/>
      <c r="D80" s="252">
        <f t="shared" ref="D80:K80" si="32">(VLOOKUP(D75+0.1,filterimpedancechp,2)*D76)/((($D$8*1000)/1.73205))</f>
        <v>1.0011851763479527</v>
      </c>
      <c r="E80" s="253">
        <f t="shared" si="32"/>
        <v>0</v>
      </c>
      <c r="F80" s="253">
        <f t="shared" si="32"/>
        <v>0</v>
      </c>
      <c r="G80" s="253">
        <f t="shared" si="32"/>
        <v>0</v>
      </c>
      <c r="H80" s="253">
        <f t="shared" si="32"/>
        <v>6.4127982555535479E-2</v>
      </c>
      <c r="I80" s="253">
        <f t="shared" si="32"/>
        <v>0</v>
      </c>
      <c r="J80" s="253">
        <f t="shared" si="32"/>
        <v>0</v>
      </c>
      <c r="K80" s="253">
        <f t="shared" si="32"/>
        <v>0</v>
      </c>
      <c r="Q80" s="28"/>
      <c r="R80" s="28"/>
      <c r="S80" s="28">
        <f t="shared" ref="S80:Z80" si="33">D81</f>
        <v>17</v>
      </c>
      <c r="T80" s="28">
        <f t="shared" si="33"/>
        <v>19</v>
      </c>
      <c r="U80" s="28">
        <f t="shared" si="33"/>
        <v>23</v>
      </c>
      <c r="V80" s="28">
        <f t="shared" si="33"/>
        <v>25</v>
      </c>
      <c r="W80" s="28">
        <f t="shared" si="33"/>
        <v>29</v>
      </c>
      <c r="X80" s="28">
        <f t="shared" si="33"/>
        <v>31</v>
      </c>
      <c r="Y80" s="28">
        <f t="shared" si="33"/>
        <v>35</v>
      </c>
      <c r="Z80" s="28">
        <f t="shared" si="33"/>
        <v>37</v>
      </c>
      <c r="AA80" s="28"/>
      <c r="AB80" s="28"/>
      <c r="AC80" s="28"/>
      <c r="AD80" s="28"/>
      <c r="AE80" s="28"/>
      <c r="AF80" s="28"/>
      <c r="AG80" s="28"/>
      <c r="AH80" s="28"/>
      <c r="AO80" s="87">
        <f t="shared" si="13"/>
        <v>15.999999999999975</v>
      </c>
      <c r="AP80" s="126" t="str">
        <f t="shared" si="16"/>
        <v>0.0001-2.3805i</v>
      </c>
      <c r="AQ80" s="105" t="str">
        <f t="shared" si="17"/>
        <v>0.000001-0.15198505700541i</v>
      </c>
      <c r="AR80" s="105" t="str">
        <f t="shared" si="18"/>
        <v>0.0243176091208656+38.9081745933849i</v>
      </c>
      <c r="AS80" s="93" t="str">
        <f t="shared" si="15"/>
        <v>19.8528960862747+0.0001i</v>
      </c>
      <c r="AT80" s="87"/>
      <c r="AU80" s="87" t="str">
        <f t="shared" si="19"/>
        <v>0.0243186091208656+38.7561895363795i</v>
      </c>
      <c r="AV80" s="87" t="str">
        <f t="shared" si="20"/>
        <v>0.478919200885639+769.42260599757i</v>
      </c>
      <c r="AW80" s="87" t="str">
        <f t="shared" si="21"/>
        <v>19.8772146953956+38.7562895363795i</v>
      </c>
      <c r="AX80" s="87" t="str">
        <f t="shared" si="22"/>
        <v>15.7232836617296+8.05175545938165i</v>
      </c>
      <c r="AY80" s="87" t="str">
        <f t="shared" si="23"/>
        <v>15.7233836617296+5.67125545938165i</v>
      </c>
      <c r="AZ80" s="87">
        <f t="shared" si="24"/>
        <v>15.999999999999975</v>
      </c>
      <c r="BA80" s="87">
        <f t="shared" si="25"/>
        <v>16.714901503135206</v>
      </c>
    </row>
    <row r="81" spans="2:70" outlineLevel="1" x14ac:dyDescent="0.25">
      <c r="B81" s="4" t="s">
        <v>31</v>
      </c>
      <c r="D81" s="98">
        <v>17</v>
      </c>
      <c r="E81" s="98">
        <v>19</v>
      </c>
      <c r="F81" s="98">
        <v>23</v>
      </c>
      <c r="G81" s="98">
        <v>25</v>
      </c>
      <c r="H81" s="98">
        <v>29</v>
      </c>
      <c r="I81" s="98">
        <v>31</v>
      </c>
      <c r="J81" s="98">
        <v>35</v>
      </c>
      <c r="K81" s="98">
        <v>37</v>
      </c>
      <c r="Q81" s="28" t="s">
        <v>57</v>
      </c>
      <c r="R81" s="28"/>
      <c r="S81" s="28">
        <f t="shared" ref="S81:Z81" si="34">D83^2</f>
        <v>0</v>
      </c>
      <c r="T81" s="28">
        <f t="shared" si="34"/>
        <v>0</v>
      </c>
      <c r="U81" s="28">
        <f t="shared" si="34"/>
        <v>0</v>
      </c>
      <c r="V81" s="28">
        <f t="shared" si="34"/>
        <v>0</v>
      </c>
      <c r="W81" s="28">
        <f t="shared" si="34"/>
        <v>0</v>
      </c>
      <c r="X81" s="28">
        <f t="shared" si="34"/>
        <v>0</v>
      </c>
      <c r="Y81" s="28">
        <f t="shared" si="34"/>
        <v>0</v>
      </c>
      <c r="Z81" s="28">
        <f t="shared" si="34"/>
        <v>0</v>
      </c>
      <c r="AA81" s="28"/>
      <c r="AB81" s="28"/>
      <c r="AC81" s="28"/>
      <c r="AD81" s="28"/>
      <c r="AE81" s="28"/>
      <c r="AF81" s="28"/>
      <c r="AG81" s="28"/>
      <c r="AH81" s="28"/>
      <c r="AO81" s="87">
        <f t="shared" si="13"/>
        <v>16.199999999999974</v>
      </c>
      <c r="AP81" s="126" t="str">
        <f t="shared" si="16"/>
        <v>0.0001-2.35111111111112i</v>
      </c>
      <c r="AQ81" s="105" t="str">
        <f t="shared" si="17"/>
        <v>0.000001-0.150108698276948i</v>
      </c>
      <c r="AR81" s="105" t="str">
        <f t="shared" si="18"/>
        <v>0.0243176091208656+39.3945267758022i</v>
      </c>
      <c r="AS81" s="93" t="str">
        <f t="shared" si="15"/>
        <v>19.8528960862747+0.0001i</v>
      </c>
      <c r="AT81" s="87"/>
      <c r="AU81" s="87" t="str">
        <f t="shared" si="19"/>
        <v>0.0243186091208656+39.2444180775253i</v>
      </c>
      <c r="AV81" s="87" t="str">
        <f t="shared" si="20"/>
        <v>0.478870378031524+779.115356491291i</v>
      </c>
      <c r="AW81" s="87" t="str">
        <f t="shared" si="21"/>
        <v>19.8772146953956+39.2445180775253i</v>
      </c>
      <c r="AX81" s="87" t="str">
        <f t="shared" si="22"/>
        <v>15.8045465586261+7.9927467604906i</v>
      </c>
      <c r="AY81" s="87" t="str">
        <f t="shared" si="23"/>
        <v>15.8046465586261+5.64163564937948i</v>
      </c>
      <c r="AZ81" s="87">
        <f t="shared" si="24"/>
        <v>16.199999999999974</v>
      </c>
      <c r="BA81" s="87">
        <f t="shared" si="25"/>
        <v>16.78138568901392</v>
      </c>
    </row>
    <row r="82" spans="2:70" ht="18" outlineLevel="1" x14ac:dyDescent="0.35">
      <c r="B82" s="4" t="s">
        <v>32</v>
      </c>
      <c r="D82" s="148">
        <v>0</v>
      </c>
      <c r="E82" s="98">
        <v>0</v>
      </c>
      <c r="F82" s="98">
        <v>0</v>
      </c>
      <c r="G82" s="98">
        <v>0</v>
      </c>
      <c r="H82" s="98">
        <v>0</v>
      </c>
      <c r="I82" s="98">
        <v>0</v>
      </c>
      <c r="J82" s="98">
        <v>0</v>
      </c>
      <c r="K82" s="98">
        <v>0</v>
      </c>
      <c r="Q82" s="28" t="s">
        <v>58</v>
      </c>
      <c r="R82" s="28"/>
      <c r="S82" s="28">
        <f t="shared" ref="S82:Z82" si="35">D82*D82</f>
        <v>0</v>
      </c>
      <c r="T82" s="28">
        <f t="shared" si="35"/>
        <v>0</v>
      </c>
      <c r="U82" s="28">
        <f t="shared" si="35"/>
        <v>0</v>
      </c>
      <c r="V82" s="28">
        <f t="shared" si="35"/>
        <v>0</v>
      </c>
      <c r="W82" s="28">
        <f t="shared" si="35"/>
        <v>0</v>
      </c>
      <c r="X82" s="28">
        <f t="shared" si="35"/>
        <v>0</v>
      </c>
      <c r="Y82" s="28">
        <f t="shared" si="35"/>
        <v>0</v>
      </c>
      <c r="Z82" s="28">
        <f t="shared" si="35"/>
        <v>0</v>
      </c>
      <c r="AA82" s="28"/>
      <c r="AB82" s="28"/>
      <c r="AC82" s="28"/>
      <c r="AD82" s="28"/>
      <c r="AE82" s="28"/>
      <c r="AF82" s="28"/>
      <c r="AG82" s="28"/>
      <c r="AH82" s="28"/>
      <c r="AO82" s="87">
        <f t="shared" si="13"/>
        <v>16.399999999999974</v>
      </c>
      <c r="AP82" s="126" t="str">
        <f t="shared" si="16"/>
        <v>0.0001-2.32243902439025i</v>
      </c>
      <c r="AQ82" s="105" t="str">
        <f t="shared" si="17"/>
        <v>0.000001-0.148278104395522i</v>
      </c>
      <c r="AR82" s="105" t="str">
        <f t="shared" si="18"/>
        <v>0.0243176091208656+39.8808789582195i</v>
      </c>
      <c r="AS82" s="93" t="str">
        <f t="shared" si="15"/>
        <v>19.8528960862747+0.0001i</v>
      </c>
      <c r="AT82" s="87"/>
      <c r="AU82" s="87" t="str">
        <f t="shared" si="19"/>
        <v>0.0243186091208656+39.732600853824i</v>
      </c>
      <c r="AV82" s="87" t="str">
        <f t="shared" si="20"/>
        <v>0.478821559753895+788.807198420258i</v>
      </c>
      <c r="AW82" s="87" t="str">
        <f t="shared" si="21"/>
        <v>19.8772146953956+39.732700853824i</v>
      </c>
      <c r="AX82" s="87" t="str">
        <f t="shared" si="22"/>
        <v>15.8836245616804+7.93410433269063i</v>
      </c>
      <c r="AY82" s="87" t="str">
        <f t="shared" si="23"/>
        <v>15.8837245616804+5.61166530830038i</v>
      </c>
      <c r="AZ82" s="87">
        <f t="shared" si="24"/>
        <v>16.399999999999974</v>
      </c>
      <c r="BA82" s="87">
        <f t="shared" si="25"/>
        <v>16.845874672563347</v>
      </c>
    </row>
    <row r="83" spans="2:70" ht="18" outlineLevel="1" x14ac:dyDescent="0.35">
      <c r="B83" s="4" t="s">
        <v>33</v>
      </c>
      <c r="D83" s="8">
        <f>($D$22/D81)*D82</f>
        <v>0</v>
      </c>
      <c r="E83" s="8">
        <f t="shared" ref="E83:K83" si="36">($D$22/E81)*E82</f>
        <v>0</v>
      </c>
      <c r="F83" s="8">
        <f t="shared" si="36"/>
        <v>0</v>
      </c>
      <c r="G83" s="8">
        <f t="shared" si="36"/>
        <v>0</v>
      </c>
      <c r="H83" s="8">
        <f t="shared" si="36"/>
        <v>0</v>
      </c>
      <c r="I83" s="8">
        <f t="shared" si="36"/>
        <v>0</v>
      </c>
      <c r="J83" s="8">
        <f t="shared" si="36"/>
        <v>0</v>
      </c>
      <c r="K83" s="8">
        <f t="shared" si="36"/>
        <v>0</v>
      </c>
      <c r="Q83" s="28" t="s">
        <v>80</v>
      </c>
      <c r="R83" s="28"/>
      <c r="S83" s="28">
        <f>S82*$D$22/(S80*1000)</f>
        <v>0</v>
      </c>
      <c r="T83" s="28">
        <f t="shared" ref="T83:Z83" si="37">T82*$D$22/(T80*1000)</f>
        <v>0</v>
      </c>
      <c r="U83" s="28">
        <f t="shared" si="37"/>
        <v>0</v>
      </c>
      <c r="V83" s="28">
        <f t="shared" si="37"/>
        <v>0</v>
      </c>
      <c r="W83" s="28">
        <f t="shared" si="37"/>
        <v>0</v>
      </c>
      <c r="X83" s="28">
        <f t="shared" si="37"/>
        <v>0</v>
      </c>
      <c r="Y83" s="28">
        <f t="shared" si="37"/>
        <v>0</v>
      </c>
      <c r="Z83" s="28">
        <f t="shared" si="37"/>
        <v>0</v>
      </c>
      <c r="AA83" s="28"/>
      <c r="AB83" s="28"/>
      <c r="AC83" s="28"/>
      <c r="AD83" s="28"/>
      <c r="AE83" s="28"/>
      <c r="AF83" s="28"/>
      <c r="AG83" s="28"/>
      <c r="AH83" s="28"/>
      <c r="AO83" s="87">
        <f t="shared" si="13"/>
        <v>16.599999999999973</v>
      </c>
      <c r="AP83" s="126" t="str">
        <f t="shared" si="16"/>
        <v>0.0001-2.29445783132531i</v>
      </c>
      <c r="AQ83" s="105" t="str">
        <f t="shared" si="17"/>
        <v>0.000001-0.146491621210034i</v>
      </c>
      <c r="AR83" s="105" t="str">
        <f t="shared" si="18"/>
        <v>0.0243176091208656+40.3672311406368i</v>
      </c>
      <c r="AS83" s="93" t="str">
        <f t="shared" si="15"/>
        <v>19.8528960862747+0.0001i</v>
      </c>
      <c r="AT83" s="87"/>
      <c r="AU83" s="87" t="str">
        <f t="shared" si="19"/>
        <v>0.0243186091208656+40.2207395194268i</v>
      </c>
      <c r="AV83" s="87" t="str">
        <f t="shared" si="20"/>
        <v>0.478772745887334+798.498164624163i</v>
      </c>
      <c r="AW83" s="87" t="str">
        <f t="shared" si="21"/>
        <v>19.8772146953956+40.2208395194268i</v>
      </c>
      <c r="AX83" s="87" t="str">
        <f t="shared" si="22"/>
        <v>15.9605874631222+7.87584880644345i</v>
      </c>
      <c r="AY83" s="87" t="str">
        <f t="shared" si="23"/>
        <v>15.9606874631222+5.58139097511814i</v>
      </c>
      <c r="AZ83" s="87">
        <f t="shared" si="24"/>
        <v>16.599999999999973</v>
      </c>
      <c r="BA83" s="87">
        <f t="shared" si="25"/>
        <v>16.908443734199679</v>
      </c>
    </row>
    <row r="84" spans="2:70" ht="18" outlineLevel="1" x14ac:dyDescent="0.35">
      <c r="B84" s="4" t="s">
        <v>68</v>
      </c>
      <c r="D84" s="8">
        <f t="shared" ref="D84:K85" si="38">AA93</f>
        <v>0</v>
      </c>
      <c r="E84" s="8">
        <f t="shared" si="38"/>
        <v>0</v>
      </c>
      <c r="F84" s="8">
        <f t="shared" si="38"/>
        <v>0</v>
      </c>
      <c r="G84" s="8">
        <f t="shared" si="38"/>
        <v>0</v>
      </c>
      <c r="H84" s="8">
        <f t="shared" si="38"/>
        <v>0</v>
      </c>
      <c r="I84" s="8">
        <f t="shared" si="38"/>
        <v>0</v>
      </c>
      <c r="J84" s="8">
        <f t="shared" si="38"/>
        <v>0</v>
      </c>
      <c r="K84" s="8">
        <f t="shared" si="38"/>
        <v>0</v>
      </c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O84" s="87">
        <f t="shared" si="13"/>
        <v>16.799999999999972</v>
      </c>
      <c r="AP84" s="126" t="str">
        <f t="shared" si="16"/>
        <v>0.0001-2.26714285714286i</v>
      </c>
      <c r="AQ84" s="105" t="str">
        <f t="shared" si="17"/>
        <v>0.000001-0.144747673338486i</v>
      </c>
      <c r="AR84" s="105" t="str">
        <f t="shared" si="18"/>
        <v>0.0243176091208656+40.8535833230541i</v>
      </c>
      <c r="AS84" s="93" t="str">
        <f t="shared" si="15"/>
        <v>19.8528960862747+0.0001i</v>
      </c>
      <c r="AT84" s="87"/>
      <c r="AU84" s="87" t="str">
        <f t="shared" si="19"/>
        <v>0.0243186091208656+40.7088356497156i</v>
      </c>
      <c r="AV84" s="87" t="str">
        <f t="shared" si="20"/>
        <v>0.478723936274305+808.1882863789i</v>
      </c>
      <c r="AW84" s="87" t="str">
        <f t="shared" si="21"/>
        <v>19.8772146953956+40.7089356497156i</v>
      </c>
      <c r="AX84" s="87" t="str">
        <f t="shared" si="22"/>
        <v>16.0355027041509+7.81799870183914i</v>
      </c>
      <c r="AY84" s="87" t="str">
        <f t="shared" si="23"/>
        <v>16.0356027041509+5.55085584469628i</v>
      </c>
      <c r="AZ84" s="87">
        <f t="shared" si="24"/>
        <v>16.799999999999972</v>
      </c>
      <c r="BA84" s="87">
        <f t="shared" si="25"/>
        <v>16.969164820166331</v>
      </c>
    </row>
    <row r="85" spans="2:70" ht="18" outlineLevel="1" x14ac:dyDescent="0.35">
      <c r="B85" s="4" t="s">
        <v>69</v>
      </c>
      <c r="D85" s="8">
        <f t="shared" si="38"/>
        <v>0</v>
      </c>
      <c r="E85" s="8">
        <f t="shared" si="38"/>
        <v>0</v>
      </c>
      <c r="F85" s="8">
        <f t="shared" si="38"/>
        <v>0</v>
      </c>
      <c r="G85" s="8">
        <f t="shared" si="38"/>
        <v>0</v>
      </c>
      <c r="H85" s="8">
        <f t="shared" si="38"/>
        <v>0</v>
      </c>
      <c r="I85" s="8">
        <f t="shared" si="38"/>
        <v>0</v>
      </c>
      <c r="J85" s="8">
        <f t="shared" si="38"/>
        <v>0</v>
      </c>
      <c r="K85" s="8">
        <f t="shared" si="38"/>
        <v>0</v>
      </c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O85" s="87">
        <f t="shared" si="13"/>
        <v>16.999999999999972</v>
      </c>
      <c r="AP85" s="126" t="str">
        <f t="shared" si="16"/>
        <v>0.0001-2.2404705882353i</v>
      </c>
      <c r="AQ85" s="105" t="str">
        <f t="shared" si="17"/>
        <v>0.000001-0.143044759534504i</v>
      </c>
      <c r="AR85" s="105" t="str">
        <f t="shared" si="18"/>
        <v>0.0243176091208656+41.3399355054714i</v>
      </c>
      <c r="AS85" s="93" t="str">
        <f t="shared" si="15"/>
        <v>19.8528960862747+0.0001i</v>
      </c>
      <c r="AT85" s="87"/>
      <c r="AU85" s="87" t="str">
        <f t="shared" si="19"/>
        <v>0.0243186091208656+41.1968907459369i</v>
      </c>
      <c r="AV85" s="87" t="str">
        <f t="shared" si="20"/>
        <v>0.478675130764683+817.877593488558i</v>
      </c>
      <c r="AW85" s="87" t="str">
        <f t="shared" si="21"/>
        <v>19.8772146953956+41.1969907459369i</v>
      </c>
      <c r="AX85" s="87" t="str">
        <f t="shared" si="22"/>
        <v>16.1084354416884+7.76057058444562i</v>
      </c>
      <c r="AY85" s="87" t="str">
        <f t="shared" si="23"/>
        <v>16.1085354416884+5.52009999621032i</v>
      </c>
      <c r="AZ85" s="87">
        <f t="shared" si="24"/>
        <v>16.999999999999972</v>
      </c>
      <c r="BA85" s="87">
        <f t="shared" si="25"/>
        <v>17.028106707567122</v>
      </c>
    </row>
    <row r="86" spans="2:70" x14ac:dyDescent="0.25">
      <c r="B86" s="91" t="s">
        <v>285</v>
      </c>
      <c r="C86" s="87"/>
      <c r="D86" s="253">
        <f t="shared" ref="D86:K86" si="39">(VLOOKUP(D81+0.1,filterimpedancechp,2)*D82)/((($D$8*1000)/1.73205))</f>
        <v>0</v>
      </c>
      <c r="E86" s="253">
        <f t="shared" si="39"/>
        <v>0</v>
      </c>
      <c r="F86" s="253">
        <f t="shared" si="39"/>
        <v>0</v>
      </c>
      <c r="G86" s="253">
        <f t="shared" si="39"/>
        <v>0</v>
      </c>
      <c r="H86" s="253">
        <f t="shared" si="39"/>
        <v>0</v>
      </c>
      <c r="I86" s="253">
        <f t="shared" si="39"/>
        <v>0</v>
      </c>
      <c r="J86" s="253">
        <f t="shared" si="39"/>
        <v>0</v>
      </c>
      <c r="K86" s="253">
        <f t="shared" si="39"/>
        <v>0</v>
      </c>
      <c r="Q86" s="28" t="s">
        <v>0</v>
      </c>
      <c r="R86" s="28"/>
      <c r="S86" s="29" t="s">
        <v>0</v>
      </c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O86" s="87">
        <f t="shared" si="13"/>
        <v>17.199999999999971</v>
      </c>
      <c r="AP86" s="126" t="str">
        <f t="shared" si="16"/>
        <v>0.0001-2.21441860465117i</v>
      </c>
      <c r="AQ86" s="105" t="str">
        <f t="shared" si="17"/>
        <v>0.000001-0.141381448377126i</v>
      </c>
      <c r="AR86" s="105" t="str">
        <f t="shared" si="18"/>
        <v>0.0243176091208656+41.8262876878887i</v>
      </c>
      <c r="AS86" s="93" t="str">
        <f t="shared" si="15"/>
        <v>19.8528960862747+0.0001i</v>
      </c>
      <c r="AT86" s="87"/>
      <c r="AU86" s="87" t="str">
        <f t="shared" si="19"/>
        <v>0.0243186091208656+41.6849062395116i</v>
      </c>
      <c r="AV86" s="87" t="str">
        <f t="shared" si="20"/>
        <v>0.478626329215326+827.566114370989i</v>
      </c>
      <c r="AW86" s="87" t="str">
        <f t="shared" si="21"/>
        <v>19.8772146953956+41.6850062395116i</v>
      </c>
      <c r="AX86" s="87" t="str">
        <f t="shared" si="22"/>
        <v>16.1794486153613+7.70357921038433i</v>
      </c>
      <c r="AY86" s="87" t="str">
        <f t="shared" si="23"/>
        <v>16.1795486153613+5.48916060573316i</v>
      </c>
      <c r="AZ86" s="87">
        <f t="shared" si="24"/>
        <v>17.199999999999971</v>
      </c>
      <c r="BA86" s="87">
        <f t="shared" si="25"/>
        <v>17.085335160668418</v>
      </c>
    </row>
    <row r="87" spans="2:70" x14ac:dyDescent="0.25">
      <c r="B87" s="91" t="s">
        <v>286</v>
      </c>
      <c r="C87" s="87"/>
      <c r="D87" s="261">
        <f>SQRT(E80^2+F80^2+G80^2+H80^2+I80^2+J80^2+K80^2+D86^2+E86^2+F86^2+G86^2+H86^2+I86^2+J86^2+K86^2)</f>
        <v>6.4127982555535479E-2</v>
      </c>
      <c r="E87" s="87"/>
      <c r="F87" s="87"/>
      <c r="G87" s="87"/>
      <c r="H87" s="104" t="s">
        <v>0</v>
      </c>
      <c r="I87" s="87"/>
      <c r="J87" s="87"/>
      <c r="K87" s="87"/>
      <c r="Q87" s="41" t="s">
        <v>97</v>
      </c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O87" s="87">
        <f t="shared" si="13"/>
        <v>17.39999999999997</v>
      </c>
      <c r="AP87" s="126" t="str">
        <f t="shared" si="16"/>
        <v>0.0001-2.18896551724138i</v>
      </c>
      <c r="AQ87" s="105" t="str">
        <f t="shared" si="17"/>
        <v>0.000001-0.139756374257848i</v>
      </c>
      <c r="AR87" s="105" t="str">
        <f t="shared" si="18"/>
        <v>0.0243176091208656+42.312639870306i</v>
      </c>
      <c r="AS87" s="93" t="str">
        <f t="shared" si="15"/>
        <v>19.8528960862747+0.0001i</v>
      </c>
      <c r="AT87" s="87"/>
      <c r="AU87" s="87" t="str">
        <f t="shared" si="19"/>
        <v>0.0243186091208656+42.1728834960482i</v>
      </c>
      <c r="AV87" s="87" t="str">
        <f t="shared" si="20"/>
        <v>0.478577531489672+837.253876137475i</v>
      </c>
      <c r="AW87" s="87" t="str">
        <f t="shared" si="21"/>
        <v>19.8772146953956+42.1729834960482i</v>
      </c>
      <c r="AX87" s="87" t="str">
        <f t="shared" si="22"/>
        <v>16.248603014377+7.64703766134432i</v>
      </c>
      <c r="AY87" s="87" t="str">
        <f t="shared" si="23"/>
        <v>16.248703014377+5.45807214410294i</v>
      </c>
      <c r="AZ87" s="87">
        <f t="shared" si="24"/>
        <v>17.39999999999997</v>
      </c>
      <c r="BA87" s="87">
        <f t="shared" si="25"/>
        <v>17.140913078936507</v>
      </c>
    </row>
    <row r="88" spans="2:70" ht="21" x14ac:dyDescent="0.35">
      <c r="B88" s="40" t="s">
        <v>138</v>
      </c>
      <c r="C88" s="39"/>
      <c r="D88" s="39"/>
      <c r="E88" s="39"/>
      <c r="F88" s="39"/>
      <c r="G88" s="10"/>
      <c r="H88" s="10"/>
      <c r="I88" s="10"/>
      <c r="J88" s="10"/>
      <c r="K88" s="10"/>
      <c r="L88" s="10"/>
      <c r="Q88" s="28" t="s">
        <v>64</v>
      </c>
      <c r="R88" s="28"/>
      <c r="S88" s="28">
        <f t="shared" ref="S88:Z89" si="40">D75</f>
        <v>1</v>
      </c>
      <c r="T88" s="28">
        <f t="shared" si="40"/>
        <v>2</v>
      </c>
      <c r="U88" s="28">
        <f t="shared" si="40"/>
        <v>3</v>
      </c>
      <c r="V88" s="28">
        <f>G75</f>
        <v>4</v>
      </c>
      <c r="W88" s="28">
        <f t="shared" si="40"/>
        <v>5</v>
      </c>
      <c r="X88" s="28">
        <f t="shared" si="40"/>
        <v>7</v>
      </c>
      <c r="Y88" s="28">
        <f t="shared" si="40"/>
        <v>11</v>
      </c>
      <c r="Z88" s="28">
        <f t="shared" si="40"/>
        <v>13</v>
      </c>
      <c r="AA88" s="28">
        <f t="shared" ref="AA88:AH89" si="41">D81</f>
        <v>17</v>
      </c>
      <c r="AB88" s="28">
        <f t="shared" si="41"/>
        <v>19</v>
      </c>
      <c r="AC88" s="28">
        <f t="shared" si="41"/>
        <v>23</v>
      </c>
      <c r="AD88" s="28">
        <f t="shared" si="41"/>
        <v>25</v>
      </c>
      <c r="AE88" s="28">
        <f t="shared" si="41"/>
        <v>29</v>
      </c>
      <c r="AF88" s="28">
        <f t="shared" si="41"/>
        <v>31</v>
      </c>
      <c r="AG88" s="28">
        <f t="shared" si="41"/>
        <v>35</v>
      </c>
      <c r="AH88" s="28">
        <f t="shared" si="41"/>
        <v>37</v>
      </c>
      <c r="AI88" t="s">
        <v>0</v>
      </c>
      <c r="AJ88" t="s">
        <v>0</v>
      </c>
      <c r="AK88" t="s">
        <v>0</v>
      </c>
      <c r="AL88" t="s">
        <v>0</v>
      </c>
      <c r="AM88" t="s">
        <v>0</v>
      </c>
      <c r="AN88" t="s">
        <v>0</v>
      </c>
      <c r="AO88" s="87">
        <f t="shared" si="13"/>
        <v>17.599999999999969</v>
      </c>
      <c r="AP88" s="126" t="str">
        <f t="shared" si="16"/>
        <v>0.0001-2.16409090909091i</v>
      </c>
      <c r="AQ88" s="105" t="str">
        <f t="shared" si="17"/>
        <v>0.000001-0.138168233641282i</v>
      </c>
      <c r="AR88" s="105" t="str">
        <f t="shared" si="18"/>
        <v>0.0243176091208656+42.7989920527233i</v>
      </c>
      <c r="AS88" s="93" t="str">
        <f t="shared" si="15"/>
        <v>19.8528960862747+0.0001i</v>
      </c>
      <c r="AT88" s="87"/>
      <c r="AU88" s="87" t="str">
        <f t="shared" si="19"/>
        <v>0.0243186091208656+42.660823819082i</v>
      </c>
      <c r="AV88" s="87" t="str">
        <f t="shared" si="20"/>
        <v>0.478528737457369+846.940904666968i</v>
      </c>
      <c r="AW88" s="87" t="str">
        <f t="shared" si="21"/>
        <v>19.8772146953956+42.660923819082i</v>
      </c>
      <c r="AX88" s="87" t="str">
        <f t="shared" si="22"/>
        <v>16.3159573440074+7.59095747020471i</v>
      </c>
      <c r="AY88" s="87" t="str">
        <f t="shared" si="23"/>
        <v>16.3160573440074+5.4268665611138i</v>
      </c>
      <c r="AZ88" s="87">
        <f t="shared" si="24"/>
        <v>17.599999999999969</v>
      </c>
      <c r="BA88" s="87">
        <f t="shared" si="25"/>
        <v>17.194900637255017</v>
      </c>
    </row>
    <row r="89" spans="2:70" x14ac:dyDescent="0.25">
      <c r="B89" s="225" t="str">
        <f>"Filter Bank Fundamental amps "&amp;ROUND(D76,1)&amp;" amps/phase"</f>
        <v>Filter Bank Fundamental amps 209.4 amps/phase</v>
      </c>
      <c r="H89" s="143"/>
      <c r="I89" s="201"/>
      <c r="J89" s="150" t="s">
        <v>242</v>
      </c>
      <c r="K89" s="202">
        <v>1.5</v>
      </c>
      <c r="L89" s="87"/>
      <c r="Q89" s="28" t="s">
        <v>65</v>
      </c>
      <c r="R89" s="28"/>
      <c r="S89" s="30">
        <f t="shared" si="40"/>
        <v>209.43285582642204</v>
      </c>
      <c r="T89" s="30">
        <f t="shared" si="40"/>
        <v>0</v>
      </c>
      <c r="U89" s="30">
        <f t="shared" si="40"/>
        <v>0</v>
      </c>
      <c r="V89" s="30">
        <f t="shared" si="40"/>
        <v>0</v>
      </c>
      <c r="W89" s="30">
        <f t="shared" si="40"/>
        <v>98</v>
      </c>
      <c r="X89" s="30">
        <f t="shared" si="40"/>
        <v>0</v>
      </c>
      <c r="Y89" s="30">
        <f t="shared" si="40"/>
        <v>0</v>
      </c>
      <c r="Z89" s="30">
        <f t="shared" si="40"/>
        <v>0</v>
      </c>
      <c r="AA89" s="30">
        <f t="shared" si="41"/>
        <v>0</v>
      </c>
      <c r="AB89" s="30">
        <f t="shared" si="41"/>
        <v>0</v>
      </c>
      <c r="AC89" s="30">
        <f t="shared" si="41"/>
        <v>0</v>
      </c>
      <c r="AD89" s="30">
        <f t="shared" si="41"/>
        <v>0</v>
      </c>
      <c r="AE89" s="30">
        <f t="shared" si="41"/>
        <v>0</v>
      </c>
      <c r="AF89" s="30">
        <f t="shared" si="41"/>
        <v>0</v>
      </c>
      <c r="AG89" s="30">
        <f t="shared" si="41"/>
        <v>0</v>
      </c>
      <c r="AH89" s="30">
        <f t="shared" si="41"/>
        <v>0</v>
      </c>
      <c r="AO89" s="87">
        <f t="shared" si="13"/>
        <v>17.799999999999969</v>
      </c>
      <c r="AP89" s="126" t="str">
        <f t="shared" si="16"/>
        <v>0.0001-2.13977528089888i</v>
      </c>
      <c r="AQ89" s="105" t="str">
        <f t="shared" si="17"/>
        <v>0.000001-0.136615781577897i</v>
      </c>
      <c r="AR89" s="105" t="str">
        <f t="shared" si="18"/>
        <v>0.0243176091208656+43.2853442351406i</v>
      </c>
      <c r="AS89" s="93" t="str">
        <f t="shared" si="15"/>
        <v>19.8528960862747+0.0001i</v>
      </c>
      <c r="AT89" s="87"/>
      <c r="AU89" s="87" t="str">
        <f t="shared" si="19"/>
        <v>0.0243186091208656+43.1487284535627i</v>
      </c>
      <c r="AV89" s="87" t="str">
        <f t="shared" si="20"/>
        <v>0.478479946993921+856.627224675326i</v>
      </c>
      <c r="AW89" s="87" t="str">
        <f t="shared" si="21"/>
        <v>19.8772146953956+43.1488284535627i</v>
      </c>
      <c r="AX89" s="87" t="str">
        <f t="shared" si="22"/>
        <v>16.3815682914366+7.53534873789442i</v>
      </c>
      <c r="AY89" s="87" t="str">
        <f t="shared" si="23"/>
        <v>16.3816682914366+5.39557345699554i</v>
      </c>
      <c r="AZ89" s="87">
        <f t="shared" si="24"/>
        <v>17.799999999999969</v>
      </c>
      <c r="BA89" s="87">
        <f t="shared" si="25"/>
        <v>17.247355418744469</v>
      </c>
    </row>
    <row r="90" spans="2:70" x14ac:dyDescent="0.25">
      <c r="B90" s="225" t="str">
        <f>"Filter Bank RMS AMPS "&amp;ROUND(AJ90,2)&amp;" amps/phase"</f>
        <v>Filter Bank RMS AMPS 231.23 amps/phase</v>
      </c>
      <c r="H90" s="143"/>
      <c r="I90" s="143"/>
      <c r="J90" s="150" t="s">
        <v>243</v>
      </c>
      <c r="K90" s="202">
        <v>1.5</v>
      </c>
      <c r="L90" s="87"/>
      <c r="Q90" s="28" t="s">
        <v>141</v>
      </c>
      <c r="S90" s="28">
        <f>S89*S89</f>
        <v>43862.121099610878</v>
      </c>
      <c r="T90" s="28">
        <f t="shared" ref="T90:AH90" si="42">T89*T89</f>
        <v>0</v>
      </c>
      <c r="U90" s="28">
        <f t="shared" si="42"/>
        <v>0</v>
      </c>
      <c r="V90" s="28">
        <f t="shared" si="42"/>
        <v>0</v>
      </c>
      <c r="W90" s="28">
        <f t="shared" si="42"/>
        <v>9604</v>
      </c>
      <c r="X90" s="28">
        <f t="shared" si="42"/>
        <v>0</v>
      </c>
      <c r="Y90" s="28">
        <f t="shared" si="42"/>
        <v>0</v>
      </c>
      <c r="Z90" s="28">
        <f t="shared" si="42"/>
        <v>0</v>
      </c>
      <c r="AA90" s="28">
        <f t="shared" si="42"/>
        <v>0</v>
      </c>
      <c r="AB90" s="28">
        <f t="shared" si="42"/>
        <v>0</v>
      </c>
      <c r="AC90" s="28">
        <f t="shared" si="42"/>
        <v>0</v>
      </c>
      <c r="AD90" s="28">
        <f t="shared" si="42"/>
        <v>0</v>
      </c>
      <c r="AE90" s="28">
        <f t="shared" si="42"/>
        <v>0</v>
      </c>
      <c r="AF90" s="28">
        <f t="shared" si="42"/>
        <v>0</v>
      </c>
      <c r="AG90" s="28">
        <f t="shared" si="42"/>
        <v>0</v>
      </c>
      <c r="AH90" s="28">
        <f t="shared" si="42"/>
        <v>0</v>
      </c>
      <c r="AJ90">
        <f>SQRT(SUM(S90:AH90))</f>
        <v>231.22742289704931</v>
      </c>
      <c r="AK90" t="s">
        <v>142</v>
      </c>
      <c r="AO90" s="87">
        <f t="shared" si="13"/>
        <v>17.999999999999968</v>
      </c>
      <c r="AP90" s="126" t="str">
        <f t="shared" si="16"/>
        <v>0.0001-2.116i</v>
      </c>
      <c r="AQ90" s="105" t="str">
        <f t="shared" si="17"/>
        <v>0.000001-0.135097828449253i</v>
      </c>
      <c r="AR90" s="105" t="str">
        <f t="shared" si="18"/>
        <v>0.0243176091208656+43.771696417558i</v>
      </c>
      <c r="AS90" s="93" t="str">
        <f t="shared" si="15"/>
        <v>19.8528960862747+0.0001i</v>
      </c>
      <c r="AT90" s="87"/>
      <c r="AU90" s="87" t="str">
        <f t="shared" si="19"/>
        <v>0.0243186091208656+43.6365985891087i</v>
      </c>
      <c r="AV90" s="87" t="str">
        <f t="shared" si="20"/>
        <v>0.478431159980366+866.312859779917i</v>
      </c>
      <c r="AW90" s="87" t="str">
        <f t="shared" si="21"/>
        <v>19.8772146953956+43.6366985891087i</v>
      </c>
      <c r="AX90" s="87" t="str">
        <f t="shared" si="22"/>
        <v>16.4454905907655+7.48022024207953i</v>
      </c>
      <c r="AY90" s="87" t="str">
        <f t="shared" si="23"/>
        <v>16.4455905907655+5.36422024207953i</v>
      </c>
      <c r="AZ90" s="87">
        <f t="shared" si="24"/>
        <v>17.999999999999968</v>
      </c>
      <c r="BA90" s="87">
        <f t="shared" si="25"/>
        <v>17.298332540583516</v>
      </c>
    </row>
    <row r="91" spans="2:70" ht="18" x14ac:dyDescent="0.35">
      <c r="B91" s="225"/>
      <c r="H91" s="87"/>
      <c r="I91" s="87"/>
      <c r="J91" s="87"/>
      <c r="K91" s="87"/>
      <c r="L91" s="87"/>
      <c r="Q91" s="28" t="s">
        <v>315</v>
      </c>
      <c r="R91" s="28"/>
      <c r="S91" s="266">
        <v>0</v>
      </c>
      <c r="T91" s="266">
        <f t="shared" ref="T91:AH91" si="43">1/(SQRT((1/$D$17^2)+(1/($D$24*T88-$D$23/T88)^2)))</f>
        <v>3.5875890820377614</v>
      </c>
      <c r="U91" s="266">
        <f t="shared" si="43"/>
        <v>6.1641931548670712</v>
      </c>
      <c r="V91" s="266">
        <f t="shared" si="43"/>
        <v>8.2867135535964476</v>
      </c>
      <c r="W91" s="266">
        <f t="shared" si="43"/>
        <v>10.062153203829155</v>
      </c>
      <c r="X91" s="266">
        <f t="shared" si="43"/>
        <v>12.768551880028372</v>
      </c>
      <c r="Y91" s="266">
        <f t="shared" si="43"/>
        <v>15.894769677354839</v>
      </c>
      <c r="Z91" s="266">
        <f t="shared" si="43"/>
        <v>16.784197232123322</v>
      </c>
      <c r="AA91" s="266">
        <f t="shared" si="43"/>
        <v>17.884546402530749</v>
      </c>
      <c r="AB91" s="266">
        <f t="shared" si="43"/>
        <v>18.232431060354742</v>
      </c>
      <c r="AC91" s="266">
        <f t="shared" si="43"/>
        <v>18.705257909452207</v>
      </c>
      <c r="AD91" s="266">
        <f t="shared" si="43"/>
        <v>18.869191594317588</v>
      </c>
      <c r="AE91" s="266">
        <f t="shared" si="43"/>
        <v>19.108406073362811</v>
      </c>
      <c r="AF91" s="266">
        <f t="shared" si="43"/>
        <v>19.197001836312594</v>
      </c>
      <c r="AG91" s="266">
        <f t="shared" si="43"/>
        <v>19.333078899058492</v>
      </c>
      <c r="AH91" s="266">
        <f t="shared" si="43"/>
        <v>19.385920475791679</v>
      </c>
      <c r="AO91" s="87">
        <f t="shared" si="13"/>
        <v>18.199999999999967</v>
      </c>
      <c r="AP91" s="126" t="str">
        <f t="shared" si="16"/>
        <v>0.0001-2.09274725274726i</v>
      </c>
      <c r="AQ91" s="105" t="str">
        <f t="shared" si="17"/>
        <v>0.000001-0.133613236927833i</v>
      </c>
      <c r="AR91" s="105" t="str">
        <f t="shared" si="18"/>
        <v>0.0243176091208656+44.2580485999753i</v>
      </c>
      <c r="AS91" s="93" t="str">
        <f t="shared" si="15"/>
        <v>19.8528960862747+0.0001i</v>
      </c>
      <c r="AT91" s="87"/>
      <c r="AU91" s="87" t="str">
        <f t="shared" si="19"/>
        <v>0.0243186091208656+44.1244353630475i</v>
      </c>
      <c r="AV91" s="87" t="str">
        <f t="shared" si="20"/>
        <v>0.478382376302972+875.997832559988i</v>
      </c>
      <c r="AW91" s="87" t="str">
        <f t="shared" si="21"/>
        <v>19.8772146953956+44.1245353630475i</v>
      </c>
      <c r="AX91" s="87" t="str">
        <f t="shared" si="22"/>
        <v>16.5077770870043+7.4255795382314i</v>
      </c>
      <c r="AY91" s="87" t="str">
        <f t="shared" si="23"/>
        <v>16.5078770870043+5.33283228548414i</v>
      </c>
      <c r="AZ91" s="87">
        <f t="shared" si="24"/>
        <v>18.199999999999967</v>
      </c>
      <c r="BA91" s="87">
        <f t="shared" si="25"/>
        <v>17.347884773214965</v>
      </c>
    </row>
    <row r="92" spans="2:70" x14ac:dyDescent="0.25">
      <c r="B92" s="225" t="str">
        <f>"Iron-Core Filter Reactor: "&amp;ROUND(D24,2)&amp;" ohms, "&amp;ROUND(D25,2)&amp;" mH"</f>
        <v>Iron-Core Filter Reactor: 2.43 ohms, 6.45 mH</v>
      </c>
      <c r="H92" s="307" t="str">
        <f>"Reference: C-High-Pass Filter Design - Stage/Branch: "&amp;I12&amp;", Tuning Point: "&amp;FIXED(D10,2)&amp;", Reference: "&amp;I8</f>
        <v>Reference: C-High-Pass Filter Design - Stage/Branch: , Tuning Point: 4.08, Reference: Enter Job Name</v>
      </c>
      <c r="I92" s="307"/>
      <c r="J92" s="307"/>
      <c r="K92" s="307"/>
      <c r="L92" s="307"/>
      <c r="Q92" s="28" t="s">
        <v>317</v>
      </c>
      <c r="S92" s="28">
        <f>S91*S89</f>
        <v>0</v>
      </c>
      <c r="T92" s="28">
        <f t="shared" ref="T92:AH92" si="44">T91*T89</f>
        <v>0</v>
      </c>
      <c r="U92" s="28">
        <f t="shared" si="44"/>
        <v>0</v>
      </c>
      <c r="V92" s="28">
        <f t="shared" si="44"/>
        <v>0</v>
      </c>
      <c r="W92" s="28">
        <f t="shared" si="44"/>
        <v>986.09101397525717</v>
      </c>
      <c r="X92" s="28">
        <f t="shared" si="44"/>
        <v>0</v>
      </c>
      <c r="Y92" s="28">
        <f t="shared" si="44"/>
        <v>0</v>
      </c>
      <c r="Z92" s="28">
        <f t="shared" si="44"/>
        <v>0</v>
      </c>
      <c r="AA92" s="28">
        <f t="shared" si="44"/>
        <v>0</v>
      </c>
      <c r="AB92" s="28">
        <f t="shared" si="44"/>
        <v>0</v>
      </c>
      <c r="AC92" s="28">
        <f t="shared" si="44"/>
        <v>0</v>
      </c>
      <c r="AD92" s="28">
        <f t="shared" si="44"/>
        <v>0</v>
      </c>
      <c r="AE92" s="28">
        <f t="shared" si="44"/>
        <v>0</v>
      </c>
      <c r="AF92" s="28">
        <f t="shared" si="44"/>
        <v>0</v>
      </c>
      <c r="AG92" s="28">
        <f t="shared" si="44"/>
        <v>0</v>
      </c>
      <c r="AH92" s="28">
        <f t="shared" si="44"/>
        <v>0</v>
      </c>
      <c r="AO92" s="87">
        <f t="shared" si="13"/>
        <v>18.399999999999967</v>
      </c>
      <c r="AP92" s="126" t="str">
        <f t="shared" si="16"/>
        <v>0.0001-2.07i</v>
      </c>
      <c r="AQ92" s="105" t="str">
        <f t="shared" si="17"/>
        <v>0.000001-0.132160919135139i</v>
      </c>
      <c r="AR92" s="105" t="str">
        <f t="shared" si="18"/>
        <v>0.0243176091208656+44.7444007823926i</v>
      </c>
      <c r="AS92" s="93" t="str">
        <f t="shared" si="15"/>
        <v>19.8528960862747+0.0001i</v>
      </c>
      <c r="AT92" s="87"/>
      <c r="AU92" s="87" t="str">
        <f t="shared" si="19"/>
        <v>0.0243186091208656+44.6122398632575i</v>
      </c>
      <c r="AV92" s="87" t="str">
        <f t="shared" si="20"/>
        <v>0.478333595852951+885.682164613074i</v>
      </c>
      <c r="AW92" s="87" t="str">
        <f t="shared" si="21"/>
        <v>19.8772146953956+44.6123398632575i</v>
      </c>
      <c r="AX92" s="87" t="str">
        <f t="shared" si="22"/>
        <v>16.5684787989081+7.37143305359328i</v>
      </c>
      <c r="AY92" s="87" t="str">
        <f t="shared" si="23"/>
        <v>16.5685787989081+5.30143305359328i</v>
      </c>
      <c r="AZ92" s="87">
        <f t="shared" si="24"/>
        <v>18.399999999999967</v>
      </c>
      <c r="BA92" s="87">
        <f t="shared" si="25"/>
        <v>17.396062653294806</v>
      </c>
    </row>
    <row r="93" spans="2:70" x14ac:dyDescent="0.25">
      <c r="B93" s="225" t="str">
        <f>"I1= "&amp;ROUND(D76,1)&amp;" amps nominal"</f>
        <v>I1= 209.4 amps nominal</v>
      </c>
      <c r="H93" s="308"/>
      <c r="I93" s="308"/>
      <c r="J93" s="308"/>
      <c r="K93" s="308"/>
      <c r="L93" s="308"/>
      <c r="Q93" s="28" t="s">
        <v>316</v>
      </c>
      <c r="R93" s="28"/>
      <c r="S93" s="31">
        <f>S89</f>
        <v>209.43285582642204</v>
      </c>
      <c r="T93" s="29">
        <f>T92/ABS($D$24*T88-$D$23/T88)</f>
        <v>0</v>
      </c>
      <c r="U93" s="29">
        <f t="shared" ref="U93:AH93" si="45">U92/ABS($D$24*U88-$D$23/U88)</f>
        <v>0</v>
      </c>
      <c r="V93" s="29">
        <f t="shared" si="45"/>
        <v>0</v>
      </c>
      <c r="W93" s="29">
        <f t="shared" si="45"/>
        <v>84.480191654712925</v>
      </c>
      <c r="X93" s="29">
        <f t="shared" si="45"/>
        <v>0</v>
      </c>
      <c r="Y93" s="29">
        <f t="shared" si="45"/>
        <v>0</v>
      </c>
      <c r="Z93" s="29">
        <f t="shared" si="45"/>
        <v>0</v>
      </c>
      <c r="AA93" s="29">
        <f t="shared" si="45"/>
        <v>0</v>
      </c>
      <c r="AB93" s="29">
        <f t="shared" si="45"/>
        <v>0</v>
      </c>
      <c r="AC93" s="29">
        <f t="shared" si="45"/>
        <v>0</v>
      </c>
      <c r="AD93" s="29">
        <f t="shared" si="45"/>
        <v>0</v>
      </c>
      <c r="AE93" s="29">
        <f t="shared" si="45"/>
        <v>0</v>
      </c>
      <c r="AF93" s="29">
        <f t="shared" si="45"/>
        <v>0</v>
      </c>
      <c r="AG93" s="29">
        <f t="shared" si="45"/>
        <v>0</v>
      </c>
      <c r="AH93" s="29">
        <f t="shared" si="45"/>
        <v>0</v>
      </c>
      <c r="AO93" s="87">
        <f t="shared" si="13"/>
        <v>18.599999999999966</v>
      </c>
      <c r="AP93" s="126" t="str">
        <f t="shared" si="16"/>
        <v>0.0001-2.04774193548388i</v>
      </c>
      <c r="AQ93" s="105" t="str">
        <f t="shared" si="17"/>
        <v>0.000001-0.130739833983149i</v>
      </c>
      <c r="AR93" s="105" t="str">
        <f t="shared" si="18"/>
        <v>0.0243176091208656+45.2307529648099i</v>
      </c>
      <c r="AS93" s="93" t="str">
        <f t="shared" si="15"/>
        <v>19.8528960862747+0.0001i</v>
      </c>
      <c r="AT93" s="87"/>
      <c r="AU93" s="87" t="str">
        <f t="shared" si="19"/>
        <v>0.0243186091208656+45.1000131308268i</v>
      </c>
      <c r="AV93" s="87" t="str">
        <f t="shared" si="20"/>
        <v>0.478284818526194+895.36587660779i</v>
      </c>
      <c r="AW93" s="87" t="str">
        <f t="shared" si="21"/>
        <v>19.8772146953956+45.1001131308268i</v>
      </c>
      <c r="AX93" s="87" t="str">
        <f t="shared" si="22"/>
        <v>16.6276449805417+7.31778617453031i</v>
      </c>
      <c r="AY93" s="87" t="str">
        <f t="shared" si="23"/>
        <v>16.6277449805417+5.27004423904643i</v>
      </c>
      <c r="AZ93" s="87">
        <f t="shared" si="24"/>
        <v>18.599999999999966</v>
      </c>
      <c r="BA93" s="87">
        <f t="shared" si="25"/>
        <v>17.442914590728126</v>
      </c>
    </row>
    <row r="94" spans="2:70" x14ac:dyDescent="0.25">
      <c r="H94" s="309" t="s">
        <v>240</v>
      </c>
      <c r="I94" s="309"/>
      <c r="J94" s="212"/>
      <c r="K94" s="310" t="s">
        <v>241</v>
      </c>
      <c r="L94" s="310"/>
      <c r="Q94" s="28" t="s">
        <v>318</v>
      </c>
      <c r="R94" s="28"/>
      <c r="S94" s="31">
        <f>S92/$D$17</f>
        <v>0</v>
      </c>
      <c r="T94" s="31">
        <f t="shared" ref="T94:AH94" si="46">T92/$D$17</f>
        <v>0</v>
      </c>
      <c r="U94" s="31">
        <f t="shared" si="46"/>
        <v>0</v>
      </c>
      <c r="V94" s="31">
        <f t="shared" si="46"/>
        <v>0</v>
      </c>
      <c r="W94" s="31">
        <f t="shared" si="46"/>
        <v>49.669882403554887</v>
      </c>
      <c r="X94" s="31">
        <f t="shared" si="46"/>
        <v>0</v>
      </c>
      <c r="Y94" s="31">
        <f t="shared" si="46"/>
        <v>0</v>
      </c>
      <c r="Z94" s="31">
        <f t="shared" si="46"/>
        <v>0</v>
      </c>
      <c r="AA94" s="31">
        <f t="shared" si="46"/>
        <v>0</v>
      </c>
      <c r="AB94" s="31">
        <f t="shared" si="46"/>
        <v>0</v>
      </c>
      <c r="AC94" s="31">
        <f t="shared" si="46"/>
        <v>0</v>
      </c>
      <c r="AD94" s="31">
        <f t="shared" si="46"/>
        <v>0</v>
      </c>
      <c r="AE94" s="31">
        <f t="shared" si="46"/>
        <v>0</v>
      </c>
      <c r="AF94" s="31">
        <f t="shared" si="46"/>
        <v>0</v>
      </c>
      <c r="AG94" s="31">
        <f t="shared" si="46"/>
        <v>0</v>
      </c>
      <c r="AH94" s="31">
        <f t="shared" si="46"/>
        <v>0</v>
      </c>
      <c r="AJ94">
        <f>SQRT(SUM(S95:AH95))</f>
        <v>49.669882403554887</v>
      </c>
      <c r="AK94" t="s">
        <v>140</v>
      </c>
      <c r="AO94" s="87">
        <f t="shared" si="13"/>
        <v>18.799999999999965</v>
      </c>
      <c r="AP94" s="126" t="str">
        <f t="shared" si="16"/>
        <v>0.0001-2.02595744680851i</v>
      </c>
      <c r="AQ94" s="105" t="str">
        <f t="shared" si="17"/>
        <v>0.000001-0.129348984685455i</v>
      </c>
      <c r="AR94" s="105" t="str">
        <f t="shared" si="18"/>
        <v>0.0243176091208656+45.7171051472272i</v>
      </c>
      <c r="AS94" s="93" t="str">
        <f t="shared" si="15"/>
        <v>19.8528960862747+0.0001i</v>
      </c>
      <c r="AT94" s="87"/>
      <c r="AU94" s="87" t="str">
        <f t="shared" si="19"/>
        <v>0.0243186091208656+45.5877561625417i</v>
      </c>
      <c r="AV94" s="87" t="str">
        <f t="shared" si="20"/>
        <v>0.478236044223023+905.04898833323i</v>
      </c>
      <c r="AW94" s="87" t="str">
        <f t="shared" si="21"/>
        <v>19.8772146953956+45.5878561625417i</v>
      </c>
      <c r="AX94" s="87" t="str">
        <f t="shared" si="22"/>
        <v>16.6853231814782+7.26464332771587i</v>
      </c>
      <c r="AY94" s="87" t="str">
        <f t="shared" si="23"/>
        <v>16.6854231814782+5.23868588090736i</v>
      </c>
      <c r="AZ94" s="87">
        <f t="shared" si="24"/>
        <v>18.799999999999965</v>
      </c>
      <c r="BA94" s="87">
        <f t="shared" si="25"/>
        <v>17.48848697011346</v>
      </c>
    </row>
    <row r="95" spans="2:70" x14ac:dyDescent="0.25">
      <c r="B95" s="225" t="str">
        <f>"High-Pass Resistor: "&amp;ROUND(D17,1)&amp;" ohms/Phase"</f>
        <v>High-Pass Resistor: 19.9 ohms/Phase</v>
      </c>
      <c r="D95" s="51"/>
      <c r="H95" s="215" t="s">
        <v>225</v>
      </c>
      <c r="I95" s="211" t="s">
        <v>215</v>
      </c>
      <c r="J95" s="143"/>
      <c r="K95" s="51" t="s">
        <v>248</v>
      </c>
      <c r="L95" s="98">
        <v>3</v>
      </c>
      <c r="Q95" s="28" t="s">
        <v>139</v>
      </c>
      <c r="S95">
        <f>S94*S94</f>
        <v>0</v>
      </c>
      <c r="T95">
        <f t="shared" ref="T95:AH95" si="47">T94*T94</f>
        <v>0</v>
      </c>
      <c r="U95">
        <f t="shared" si="47"/>
        <v>0</v>
      </c>
      <c r="V95">
        <f t="shared" si="47"/>
        <v>0</v>
      </c>
      <c r="W95">
        <f t="shared" si="47"/>
        <v>2467.0972179829714</v>
      </c>
      <c r="X95">
        <f t="shared" si="47"/>
        <v>0</v>
      </c>
      <c r="Y95">
        <f t="shared" si="47"/>
        <v>0</v>
      </c>
      <c r="Z95">
        <f t="shared" si="47"/>
        <v>0</v>
      </c>
      <c r="AA95">
        <f t="shared" si="47"/>
        <v>0</v>
      </c>
      <c r="AB95">
        <f t="shared" si="47"/>
        <v>0</v>
      </c>
      <c r="AC95">
        <f t="shared" si="47"/>
        <v>0</v>
      </c>
      <c r="AD95">
        <f t="shared" si="47"/>
        <v>0</v>
      </c>
      <c r="AE95">
        <f t="shared" si="47"/>
        <v>0</v>
      </c>
      <c r="AF95">
        <f t="shared" si="47"/>
        <v>0</v>
      </c>
      <c r="AG95">
        <f t="shared" si="47"/>
        <v>0</v>
      </c>
      <c r="AH95">
        <f t="shared" si="47"/>
        <v>0</v>
      </c>
      <c r="AO95" s="87">
        <f t="shared" si="13"/>
        <v>18.999999999999964</v>
      </c>
      <c r="AP95" s="126" t="str">
        <f t="shared" si="16"/>
        <v>0.0001-2.00463157894737i</v>
      </c>
      <c r="AQ95" s="105" t="str">
        <f t="shared" si="17"/>
        <v>0.000001-0.127987416425609i</v>
      </c>
      <c r="AR95" s="105" t="str">
        <f t="shared" si="18"/>
        <v>0.0243176091208656+46.2034573296445i</v>
      </c>
      <c r="AS95" s="93" t="str">
        <f t="shared" si="15"/>
        <v>19.8528960862747+0.0001i</v>
      </c>
      <c r="AT95" s="87"/>
      <c r="AU95" s="87" t="str">
        <f t="shared" si="19"/>
        <v>0.0243186091208656+46.0754699132189i</v>
      </c>
      <c r="AV95" s="87" t="str">
        <f t="shared" si="20"/>
        <v>0.478187272847955+914.731518745272i</v>
      </c>
      <c r="AW95" s="87" t="str">
        <f t="shared" si="21"/>
        <v>19.8772146953956+46.0755699132189i</v>
      </c>
      <c r="AX95" s="87" t="str">
        <f t="shared" si="22"/>
        <v>16.74155930556+7.21200805557767i</v>
      </c>
      <c r="AY95" s="87" t="str">
        <f t="shared" si="23"/>
        <v>16.74165930556+5.2073764766303i</v>
      </c>
      <c r="AZ95" s="87">
        <f t="shared" si="24"/>
        <v>18.999999999999964</v>
      </c>
      <c r="BA95" s="87">
        <f t="shared" si="25"/>
        <v>17.53282424690347</v>
      </c>
    </row>
    <row r="96" spans="2:70" x14ac:dyDescent="0.25">
      <c r="B96" s="225" t="str">
        <f>ROUND(D18,0)&amp;" KW/Phase  Total"</f>
        <v>49 KW/Phase  Total</v>
      </c>
      <c r="H96" s="138">
        <f>D75</f>
        <v>1</v>
      </c>
      <c r="I96" s="188">
        <f>D76*K89</f>
        <v>314.14928373963306</v>
      </c>
      <c r="J96" s="143"/>
      <c r="K96" s="150" t="s">
        <v>229</v>
      </c>
      <c r="L96" s="98">
        <v>3</v>
      </c>
      <c r="Q96" s="28" t="s">
        <v>319</v>
      </c>
      <c r="R96" s="28"/>
      <c r="S96" s="28">
        <f t="shared" ref="S96:AH96" si="48">S94*S94*$D$17/1000</f>
        <v>0</v>
      </c>
      <c r="T96" s="28">
        <f t="shared" si="48"/>
        <v>0</v>
      </c>
      <c r="U96" s="28">
        <f t="shared" si="48"/>
        <v>0</v>
      </c>
      <c r="V96" s="28">
        <f t="shared" si="48"/>
        <v>0</v>
      </c>
      <c r="W96" s="28">
        <f t="shared" si="48"/>
        <v>48.979024703353218</v>
      </c>
      <c r="X96" s="28">
        <f t="shared" si="48"/>
        <v>0</v>
      </c>
      <c r="Y96" s="28">
        <f t="shared" si="48"/>
        <v>0</v>
      </c>
      <c r="Z96" s="28">
        <f t="shared" si="48"/>
        <v>0</v>
      </c>
      <c r="AA96" s="28">
        <f t="shared" si="48"/>
        <v>0</v>
      </c>
      <c r="AB96" s="28">
        <f t="shared" si="48"/>
        <v>0</v>
      </c>
      <c r="AC96" s="28">
        <f t="shared" si="48"/>
        <v>0</v>
      </c>
      <c r="AD96" s="28">
        <f t="shared" si="48"/>
        <v>0</v>
      </c>
      <c r="AE96" s="28">
        <f t="shared" si="48"/>
        <v>0</v>
      </c>
      <c r="AF96" s="28">
        <f t="shared" si="48"/>
        <v>0</v>
      </c>
      <c r="AG96" s="28">
        <f t="shared" si="48"/>
        <v>0</v>
      </c>
      <c r="AH96" s="28">
        <f t="shared" si="48"/>
        <v>0</v>
      </c>
      <c r="AO96" s="87">
        <f t="shared" si="13"/>
        <v>19.199999999999964</v>
      </c>
      <c r="AP96" s="126" t="str">
        <f t="shared" si="16"/>
        <v>0.0001-1.98375i</v>
      </c>
      <c r="AQ96" s="105" t="str">
        <f t="shared" si="17"/>
        <v>0.000001-0.126654214171175i</v>
      </c>
      <c r="AR96" s="105" t="str">
        <f t="shared" si="18"/>
        <v>0.0243176091208656+46.6898095120618i</v>
      </c>
      <c r="AS96" s="93" t="str">
        <f t="shared" si="15"/>
        <v>19.8528960862747+0.0001i</v>
      </c>
      <c r="AT96" s="87"/>
      <c r="AU96" s="87" t="str">
        <f t="shared" si="19"/>
        <v>0.0243186091208656+46.5631552978906i</v>
      </c>
      <c r="AV96" s="87" t="str">
        <f t="shared" si="20"/>
        <v>0.478138504309488+924.413486009954i</v>
      </c>
      <c r="AW96" s="87" t="str">
        <f t="shared" si="21"/>
        <v>19.8772146953956+46.5632552978906i</v>
      </c>
      <c r="AX96" s="87" t="str">
        <f t="shared" si="22"/>
        <v>16.7963976681651+7.15988308639911i</v>
      </c>
      <c r="AY96" s="87" t="str">
        <f t="shared" si="23"/>
        <v>16.7964976681651+5.17613308639911i</v>
      </c>
      <c r="AZ96" s="87">
        <f t="shared" si="24"/>
        <v>19.199999999999964</v>
      </c>
      <c r="BA96" s="87">
        <f t="shared" si="25"/>
        <v>17.575969038570566</v>
      </c>
      <c r="BL96" s="104">
        <f>I96</f>
        <v>314.14928373963306</v>
      </c>
      <c r="BM96" s="87">
        <f>BL96*BL96</f>
        <v>98689.772474124489</v>
      </c>
      <c r="BN96" s="87"/>
      <c r="BO96" s="87"/>
      <c r="BP96" s="87"/>
      <c r="BQ96" s="87"/>
      <c r="BR96" s="87"/>
    </row>
    <row r="97" spans="2:70" x14ac:dyDescent="0.25">
      <c r="B97" s="225" t="str">
        <f>ROUND(AJ94,2)&amp;" RMS Amps"</f>
        <v>49.67 RMS Amps</v>
      </c>
      <c r="H97" s="205">
        <f>E75</f>
        <v>2</v>
      </c>
      <c r="I97" s="206">
        <f>E76*K90</f>
        <v>0</v>
      </c>
      <c r="J97" s="143"/>
      <c r="K97" s="150" t="s">
        <v>228</v>
      </c>
      <c r="L97" s="90" t="str">
        <f>D8&amp;" kV"</f>
        <v>13.8 kV</v>
      </c>
      <c r="Q97" s="28" t="s">
        <v>99</v>
      </c>
      <c r="S97">
        <f t="shared" ref="S97:AH97" si="49">S93*$D$23/S88</f>
        <v>509.29063250535256</v>
      </c>
      <c r="T97">
        <f t="shared" si="49"/>
        <v>0</v>
      </c>
      <c r="U97">
        <f t="shared" si="49"/>
        <v>0</v>
      </c>
      <c r="V97">
        <f t="shared" si="49"/>
        <v>0</v>
      </c>
      <c r="W97">
        <f t="shared" si="49"/>
        <v>41.087125582302377</v>
      </c>
      <c r="X97">
        <f t="shared" si="49"/>
        <v>0</v>
      </c>
      <c r="Y97">
        <f t="shared" si="49"/>
        <v>0</v>
      </c>
      <c r="Z97">
        <f t="shared" si="49"/>
        <v>0</v>
      </c>
      <c r="AA97">
        <f t="shared" si="49"/>
        <v>0</v>
      </c>
      <c r="AB97">
        <f t="shared" si="49"/>
        <v>0</v>
      </c>
      <c r="AC97">
        <f t="shared" si="49"/>
        <v>0</v>
      </c>
      <c r="AD97">
        <f t="shared" si="49"/>
        <v>0</v>
      </c>
      <c r="AE97">
        <f t="shared" si="49"/>
        <v>0</v>
      </c>
      <c r="AF97">
        <f t="shared" si="49"/>
        <v>0</v>
      </c>
      <c r="AG97">
        <f t="shared" si="49"/>
        <v>0</v>
      </c>
      <c r="AH97">
        <f t="shared" si="49"/>
        <v>0</v>
      </c>
      <c r="AO97" s="87">
        <f t="shared" si="13"/>
        <v>19.399999999999963</v>
      </c>
      <c r="AP97" s="126" t="str">
        <f t="shared" si="16"/>
        <v>0.0001-1.96329896907217i</v>
      </c>
      <c r="AQ97" s="105" t="str">
        <f t="shared" si="17"/>
        <v>0.000001-0.125348500623019i</v>
      </c>
      <c r="AR97" s="105" t="str">
        <f t="shared" si="18"/>
        <v>0.0243176091208656+47.1761616944791i</v>
      </c>
      <c r="AS97" s="93" t="str">
        <f t="shared" si="15"/>
        <v>19.8528960862747+0.0001i</v>
      </c>
      <c r="AT97" s="87"/>
      <c r="AU97" s="87" t="str">
        <f t="shared" si="19"/>
        <v>0.0243186091208656+47.0508131938561i</v>
      </c>
      <c r="AV97" s="87" t="str">
        <f t="shared" si="20"/>
        <v>0.478089738519891+934.094907544209i</v>
      </c>
      <c r="AW97" s="87" t="str">
        <f t="shared" si="21"/>
        <v>19.8772146953956+47.0509131938561i</v>
      </c>
      <c r="AX97" s="87" t="str">
        <f t="shared" si="22"/>
        <v>16.8498810519377+7.1082703994446i</v>
      </c>
      <c r="AY97" s="87" t="str">
        <f t="shared" si="23"/>
        <v>16.8499810519377+5.14497143037243i</v>
      </c>
      <c r="AZ97" s="87">
        <f t="shared" si="24"/>
        <v>19.399999999999963</v>
      </c>
      <c r="BA97" s="87">
        <f t="shared" si="25"/>
        <v>17.617962211050632</v>
      </c>
      <c r="BL97" s="104">
        <f t="shared" ref="BL97:BL111" si="50">I97</f>
        <v>0</v>
      </c>
      <c r="BM97" s="87">
        <f t="shared" ref="BM97:BM111" si="51">BL97*BL97</f>
        <v>0</v>
      </c>
      <c r="BN97" s="87"/>
      <c r="BO97" s="87"/>
      <c r="BP97" s="87"/>
      <c r="BQ97" s="87"/>
      <c r="BR97" s="87"/>
    </row>
    <row r="98" spans="2:70" x14ac:dyDescent="0.25">
      <c r="H98" s="138">
        <f>F75</f>
        <v>3</v>
      </c>
      <c r="I98" s="203">
        <f>F76*K90</f>
        <v>0</v>
      </c>
      <c r="J98" s="87"/>
      <c r="K98" s="150" t="s">
        <v>233</v>
      </c>
      <c r="L98" s="98">
        <v>95</v>
      </c>
      <c r="Q98" s="28" t="s">
        <v>98</v>
      </c>
      <c r="S98">
        <f>S97*S97</f>
        <v>259376.94835770209</v>
      </c>
      <c r="T98">
        <f t="shared" ref="T98:AH98" si="52">T97*T97</f>
        <v>0</v>
      </c>
      <c r="U98">
        <f t="shared" si="52"/>
        <v>0</v>
      </c>
      <c r="V98">
        <f t="shared" si="52"/>
        <v>0</v>
      </c>
      <c r="W98">
        <f t="shared" si="52"/>
        <v>1688.1518886158865</v>
      </c>
      <c r="X98">
        <f t="shared" si="52"/>
        <v>0</v>
      </c>
      <c r="Y98">
        <f t="shared" si="52"/>
        <v>0</v>
      </c>
      <c r="Z98">
        <f t="shared" si="52"/>
        <v>0</v>
      </c>
      <c r="AA98">
        <f t="shared" si="52"/>
        <v>0</v>
      </c>
      <c r="AB98">
        <f t="shared" si="52"/>
        <v>0</v>
      </c>
      <c r="AC98">
        <f t="shared" si="52"/>
        <v>0</v>
      </c>
      <c r="AD98">
        <f t="shared" si="52"/>
        <v>0</v>
      </c>
      <c r="AE98">
        <f t="shared" si="52"/>
        <v>0</v>
      </c>
      <c r="AF98">
        <f t="shared" si="52"/>
        <v>0</v>
      </c>
      <c r="AG98">
        <f t="shared" si="52"/>
        <v>0</v>
      </c>
      <c r="AH98">
        <f t="shared" si="52"/>
        <v>0</v>
      </c>
      <c r="AO98" s="87">
        <f t="shared" ref="AO98:AO161" si="53">AO97+0.2</f>
        <v>19.599999999999962</v>
      </c>
      <c r="AP98" s="126" t="str">
        <f t="shared" si="16"/>
        <v>0.0001-1.94326530612245i</v>
      </c>
      <c r="AQ98" s="105" t="str">
        <f t="shared" si="17"/>
        <v>0.000001-0.124069434290131i</v>
      </c>
      <c r="AR98" s="105" t="str">
        <f t="shared" si="18"/>
        <v>0.0243176091208656+47.6625138768964i</v>
      </c>
      <c r="AS98" s="93" t="str">
        <f t="shared" si="15"/>
        <v>19.8528960862747+0.0001i</v>
      </c>
      <c r="AT98" s="87"/>
      <c r="AU98" s="87" t="str">
        <f t="shared" si="19"/>
        <v>0.0243186091208656+47.5384444426063i</v>
      </c>
      <c r="AV98" s="87" t="str">
        <f t="shared" si="20"/>
        <v>0.478040975395016+943.775800054067i</v>
      </c>
      <c r="AW98" s="87" t="str">
        <f t="shared" si="21"/>
        <v>19.8772146953956+47.5385444426063i</v>
      </c>
      <c r="AX98" s="87" t="str">
        <f t="shared" si="22"/>
        <v>16.9020507609567+7.05717128545349i</v>
      </c>
      <c r="AY98" s="87" t="str">
        <f t="shared" si="23"/>
        <v>16.9021507609567+5.11390597933104i</v>
      </c>
      <c r="AZ98" s="87">
        <f t="shared" si="24"/>
        <v>19.599999999999962</v>
      </c>
      <c r="BA98" s="87">
        <f t="shared" si="25"/>
        <v>17.658842960725</v>
      </c>
      <c r="BL98" s="104">
        <f t="shared" si="50"/>
        <v>0</v>
      </c>
      <c r="BM98" s="87">
        <f t="shared" si="51"/>
        <v>0</v>
      </c>
      <c r="BN98" s="87"/>
      <c r="BO98" s="87"/>
      <c r="BP98" s="87"/>
      <c r="BQ98" s="87"/>
      <c r="BR98" s="87"/>
    </row>
    <row r="99" spans="2:70" x14ac:dyDescent="0.25">
      <c r="B99" s="226" t="str">
        <f>"Aux Capacitor: Qty("&amp;D51*3&amp;"), "&amp;ROUND(D52,0)&amp;" kvar, "&amp;D49&amp;" kV, "&amp;ROUND(K52,2)&amp;" µF/Can"</f>
        <v>Aux Capacitor: Qty(18), 69 kvar, 1 kV, 181.81 µF/Can</v>
      </c>
      <c r="H99" s="207">
        <f>G75</f>
        <v>4</v>
      </c>
      <c r="I99" s="206">
        <f>G76*K90</f>
        <v>0</v>
      </c>
      <c r="J99" s="143"/>
      <c r="K99" s="150" t="s">
        <v>236</v>
      </c>
      <c r="L99" s="90">
        <f>D11</f>
        <v>60</v>
      </c>
      <c r="Q99" s="28" t="s">
        <v>320</v>
      </c>
      <c r="S99">
        <f t="shared" ref="S99:AH99" si="54">S93*S93</f>
        <v>43862.121099610878</v>
      </c>
      <c r="T99">
        <f t="shared" si="54"/>
        <v>0</v>
      </c>
      <c r="U99">
        <f t="shared" si="54"/>
        <v>0</v>
      </c>
      <c r="V99">
        <f t="shared" si="54"/>
        <v>0</v>
      </c>
      <c r="W99">
        <f t="shared" si="54"/>
        <v>7136.9027820170277</v>
      </c>
      <c r="X99">
        <f t="shared" si="54"/>
        <v>0</v>
      </c>
      <c r="Y99">
        <f t="shared" si="54"/>
        <v>0</v>
      </c>
      <c r="Z99">
        <f t="shared" si="54"/>
        <v>0</v>
      </c>
      <c r="AA99">
        <f t="shared" si="54"/>
        <v>0</v>
      </c>
      <c r="AB99">
        <f t="shared" si="54"/>
        <v>0</v>
      </c>
      <c r="AC99">
        <f t="shared" si="54"/>
        <v>0</v>
      </c>
      <c r="AD99">
        <f t="shared" si="54"/>
        <v>0</v>
      </c>
      <c r="AE99">
        <f t="shared" si="54"/>
        <v>0</v>
      </c>
      <c r="AF99">
        <f t="shared" si="54"/>
        <v>0</v>
      </c>
      <c r="AG99">
        <f t="shared" si="54"/>
        <v>0</v>
      </c>
      <c r="AH99">
        <f t="shared" si="54"/>
        <v>0</v>
      </c>
      <c r="AO99" s="87">
        <f t="shared" si="53"/>
        <v>19.799999999999962</v>
      </c>
      <c r="AP99" s="126" t="str">
        <f t="shared" si="16"/>
        <v>0.0001-1.92363636363637i</v>
      </c>
      <c r="AQ99" s="105" t="str">
        <f t="shared" si="17"/>
        <v>0.000001-0.12281620768114i</v>
      </c>
      <c r="AR99" s="105" t="str">
        <f t="shared" si="18"/>
        <v>0.0243176091208656+48.1488660593137i</v>
      </c>
      <c r="AS99" s="93" t="str">
        <f t="shared" ref="AS99:AS130" si="55">COMPLEX($D$17,0.0001)</f>
        <v>19.8528960862747+0.0001i</v>
      </c>
      <c r="AT99" s="87"/>
      <c r="AU99" s="87" t="str">
        <f t="shared" si="19"/>
        <v>0.0243186091208656+48.0260498516326i</v>
      </c>
      <c r="AV99" s="87" t="str">
        <f t="shared" si="20"/>
        <v>0.477992214854114+953.456179570571i</v>
      </c>
      <c r="AW99" s="87" t="str">
        <f t="shared" si="21"/>
        <v>19.8772146953956+48.0261498516326i</v>
      </c>
      <c r="AX99" s="87" t="str">
        <f t="shared" si="22"/>
        <v>16.9529466733243+7.00658640282337i</v>
      </c>
      <c r="AY99" s="87" t="str">
        <f t="shared" si="23"/>
        <v>16.9530466733243+5.082950039187i</v>
      </c>
      <c r="AZ99" s="87">
        <f t="shared" si="24"/>
        <v>19.799999999999962</v>
      </c>
      <c r="BA99" s="87">
        <f t="shared" si="25"/>
        <v>17.69864889218336</v>
      </c>
      <c r="BL99" s="104">
        <f t="shared" si="50"/>
        <v>0</v>
      </c>
      <c r="BM99" s="87">
        <f t="shared" si="51"/>
        <v>0</v>
      </c>
      <c r="BN99" s="87"/>
      <c r="BO99" s="87"/>
      <c r="BP99" s="87"/>
      <c r="BQ99" s="87"/>
      <c r="BR99" s="87"/>
    </row>
    <row r="100" spans="2:70" x14ac:dyDescent="0.25">
      <c r="B100" s="225" t="str">
        <f>"Optional Capacitor Fuse: "&amp;ROUND(D54,0)&amp;" (Minimum Amps)"</f>
        <v>Optional Capacitor Fuse: 63 (Minimum Amps)</v>
      </c>
      <c r="H100" s="138">
        <f>H75</f>
        <v>5</v>
      </c>
      <c r="I100" s="203">
        <f>H76*K90</f>
        <v>147</v>
      </c>
      <c r="J100" s="143"/>
      <c r="K100" s="51" t="s">
        <v>301</v>
      </c>
      <c r="L100" s="89">
        <f>D25</f>
        <v>6.4506364053439373</v>
      </c>
      <c r="Q100" s="28" t="s">
        <v>100</v>
      </c>
      <c r="S100">
        <f t="shared" ref="S100:AH100" si="56">S99*$D$23/(S88*1000)</f>
        <v>106.66219161124079</v>
      </c>
      <c r="T100">
        <f t="shared" si="56"/>
        <v>0</v>
      </c>
      <c r="U100">
        <f t="shared" si="56"/>
        <v>0</v>
      </c>
      <c r="V100">
        <f t="shared" si="56"/>
        <v>0</v>
      </c>
      <c r="W100">
        <f t="shared" si="56"/>
        <v>3.4710482437341632</v>
      </c>
      <c r="X100">
        <f t="shared" si="56"/>
        <v>0</v>
      </c>
      <c r="Y100">
        <f t="shared" si="56"/>
        <v>0</v>
      </c>
      <c r="Z100">
        <f t="shared" si="56"/>
        <v>0</v>
      </c>
      <c r="AA100">
        <f t="shared" si="56"/>
        <v>0</v>
      </c>
      <c r="AB100">
        <f t="shared" si="56"/>
        <v>0</v>
      </c>
      <c r="AC100">
        <f t="shared" si="56"/>
        <v>0</v>
      </c>
      <c r="AD100">
        <f t="shared" si="56"/>
        <v>0</v>
      </c>
      <c r="AE100">
        <f t="shared" si="56"/>
        <v>0</v>
      </c>
      <c r="AF100">
        <f t="shared" si="56"/>
        <v>0</v>
      </c>
      <c r="AG100">
        <f t="shared" si="56"/>
        <v>0</v>
      </c>
      <c r="AH100">
        <f t="shared" si="56"/>
        <v>0</v>
      </c>
      <c r="AO100" s="87">
        <f t="shared" si="53"/>
        <v>19.999999999999961</v>
      </c>
      <c r="AP100" s="126" t="str">
        <f t="shared" si="16"/>
        <v>0.0001-1.9044i</v>
      </c>
      <c r="AQ100" s="105" t="str">
        <f t="shared" si="17"/>
        <v>0.000001-0.121588045604328i</v>
      </c>
      <c r="AR100" s="105" t="str">
        <f t="shared" si="18"/>
        <v>0.0243176091208656+48.6352182417311i</v>
      </c>
      <c r="AS100" s="93" t="str">
        <f t="shared" si="55"/>
        <v>19.8528960862747+0.0001i</v>
      </c>
      <c r="AT100" s="87"/>
      <c r="AU100" s="87" t="str">
        <f t="shared" si="19"/>
        <v>0.0243186091208656+48.5136301961268i</v>
      </c>
      <c r="AV100" s="87" t="str">
        <f t="shared" si="20"/>
        <v>0.477943456819664+963.136061483525i</v>
      </c>
      <c r="AW100" s="87" t="str">
        <f t="shared" si="21"/>
        <v>19.8772146953956+48.5137301961268i</v>
      </c>
      <c r="AX100" s="87" t="str">
        <f t="shared" si="22"/>
        <v>17.0026072921698+6.95651582978221i</v>
      </c>
      <c r="AY100" s="87" t="str">
        <f t="shared" si="23"/>
        <v>17.0027072921698+5.05211582978221i</v>
      </c>
      <c r="AZ100" s="87">
        <f t="shared" si="24"/>
        <v>19.999999999999961</v>
      </c>
      <c r="BA100" s="87">
        <f t="shared" si="25"/>
        <v>17.737416091999982</v>
      </c>
      <c r="BL100" s="104">
        <f t="shared" si="50"/>
        <v>147</v>
      </c>
      <c r="BM100" s="87">
        <f t="shared" si="51"/>
        <v>21609</v>
      </c>
      <c r="BN100" s="87"/>
      <c r="BO100" s="87"/>
      <c r="BP100" s="87"/>
      <c r="BQ100" s="87"/>
      <c r="BR100" s="87"/>
    </row>
    <row r="101" spans="2:70" ht="17.25" x14ac:dyDescent="0.25">
      <c r="H101" s="205">
        <f>I75</f>
        <v>7</v>
      </c>
      <c r="I101" s="206">
        <f>I76*K90</f>
        <v>0</v>
      </c>
      <c r="J101" s="143"/>
      <c r="K101" s="51" t="str">
        <f>"Reactance at "&amp;L99&amp;"Hz (ohms):"</f>
        <v>Reactance at 60Hz (ohms):</v>
      </c>
      <c r="L101" s="89">
        <f>D24</f>
        <v>2.4317609120865575</v>
      </c>
      <c r="Q101" s="28" t="s">
        <v>186</v>
      </c>
      <c r="S101">
        <f>$D$24/$D$26*S93*S93</f>
        <v>1066.6219161124079</v>
      </c>
      <c r="T101" s="87">
        <f t="shared" ref="T101:AH101" si="57">$D$24/$D$26*T93*T93</f>
        <v>0</v>
      </c>
      <c r="U101" s="87">
        <f t="shared" si="57"/>
        <v>0</v>
      </c>
      <c r="V101" s="87">
        <f t="shared" si="57"/>
        <v>0</v>
      </c>
      <c r="W101" s="87">
        <f t="shared" si="57"/>
        <v>173.55241218670815</v>
      </c>
      <c r="X101" s="87">
        <f t="shared" si="57"/>
        <v>0</v>
      </c>
      <c r="Y101" s="87">
        <f t="shared" si="57"/>
        <v>0</v>
      </c>
      <c r="Z101" s="87">
        <f t="shared" si="57"/>
        <v>0</v>
      </c>
      <c r="AA101" s="87">
        <f t="shared" si="57"/>
        <v>0</v>
      </c>
      <c r="AB101" s="87">
        <f t="shared" si="57"/>
        <v>0</v>
      </c>
      <c r="AC101" s="87">
        <f t="shared" si="57"/>
        <v>0</v>
      </c>
      <c r="AD101" s="87">
        <f t="shared" si="57"/>
        <v>0</v>
      </c>
      <c r="AE101" s="87">
        <f t="shared" si="57"/>
        <v>0</v>
      </c>
      <c r="AF101" s="87">
        <f t="shared" si="57"/>
        <v>0</v>
      </c>
      <c r="AG101" s="87">
        <f t="shared" si="57"/>
        <v>0</v>
      </c>
      <c r="AH101" s="87">
        <f t="shared" si="57"/>
        <v>0</v>
      </c>
      <c r="AO101" s="87">
        <f t="shared" si="53"/>
        <v>20.19999999999996</v>
      </c>
      <c r="AP101" s="126" t="str">
        <f t="shared" si="16"/>
        <v>0.0001-1.88554455445545i</v>
      </c>
      <c r="AQ101" s="105" t="str">
        <f t="shared" si="17"/>
        <v>0.000001-0.120384203568642i</v>
      </c>
      <c r="AR101" s="105" t="str">
        <f t="shared" si="18"/>
        <v>0.0243176091208656+49.1215704241484i</v>
      </c>
      <c r="AS101" s="93" t="str">
        <f t="shared" si="55"/>
        <v>19.8528960862747+0.0001i</v>
      </c>
      <c r="AT101" s="87"/>
      <c r="AU101" s="87" t="str">
        <f t="shared" si="19"/>
        <v>0.0243186091208656+49.0011862205798i</v>
      </c>
      <c r="AV101" s="87" t="str">
        <f t="shared" si="20"/>
        <v>0.477894701217219+972.815460573227i</v>
      </c>
      <c r="AW101" s="87" t="str">
        <f t="shared" si="21"/>
        <v>19.8772146953956+49.0012862205798i</v>
      </c>
      <c r="AX101" s="87" t="str">
        <f t="shared" si="22"/>
        <v>17.0510697950683+6.90695911282807i</v>
      </c>
      <c r="AY101" s="87" t="str">
        <f t="shared" si="23"/>
        <v>17.0511697950683+5.02141455837262i</v>
      </c>
      <c r="AZ101" s="87">
        <f t="shared" si="24"/>
        <v>20.19999999999996</v>
      </c>
      <c r="BA101" s="87">
        <f t="shared" si="25"/>
        <v>17.775179198739067</v>
      </c>
      <c r="BL101" s="104">
        <f t="shared" si="50"/>
        <v>0</v>
      </c>
      <c r="BM101" s="87">
        <f t="shared" si="51"/>
        <v>0</v>
      </c>
      <c r="BN101" s="87"/>
      <c r="BO101" s="87"/>
      <c r="BP101" s="87"/>
      <c r="BQ101" s="87"/>
      <c r="BR101" s="87"/>
    </row>
    <row r="102" spans="2:70" x14ac:dyDescent="0.25">
      <c r="B102" s="225" t="str">
        <f>"Main Capacitor Fuse: "&amp;ROUND(D34,0)&amp;" (Minimum Amps)"</f>
        <v>Main Capacitor Fuse: 75 (Minimum Amps)</v>
      </c>
      <c r="H102" s="138">
        <f>J75</f>
        <v>11</v>
      </c>
      <c r="I102" s="203">
        <f>J76*K90</f>
        <v>0</v>
      </c>
      <c r="J102" s="143"/>
      <c r="K102" s="150" t="s">
        <v>239</v>
      </c>
      <c r="L102" s="98" t="s">
        <v>238</v>
      </c>
      <c r="AO102" s="87">
        <f t="shared" si="53"/>
        <v>20.399999999999959</v>
      </c>
      <c r="AP102" s="126" t="str">
        <f t="shared" si="16"/>
        <v>0.0001-1.86705882352942i</v>
      </c>
      <c r="AQ102" s="105" t="str">
        <f t="shared" si="17"/>
        <v>0.000001-0.119203966278753i</v>
      </c>
      <c r="AR102" s="105" t="str">
        <f t="shared" si="18"/>
        <v>0.0243176091208656+49.6079226065657i</v>
      </c>
      <c r="AS102" s="93" t="str">
        <f t="shared" si="55"/>
        <v>19.8528960862747+0.0001i</v>
      </c>
      <c r="AT102" s="87"/>
      <c r="AU102" s="87" t="str">
        <f t="shared" si="19"/>
        <v>0.0243186091208656+49.4887186402869i</v>
      </c>
      <c r="AV102" s="87" t="str">
        <f t="shared" si="20"/>
        <v>0.477845947975248+982.494391040363i</v>
      </c>
      <c r="AW102" s="87" t="str">
        <f t="shared" si="21"/>
        <v>19.8772146953956+49.4888186402869i</v>
      </c>
      <c r="AX102" s="87" t="str">
        <f t="shared" si="22"/>
        <v>17.0983700818854+6.85791531169639i</v>
      </c>
      <c r="AY102" s="87" t="str">
        <f t="shared" si="23"/>
        <v>17.0984700818854+4.99085648816697i</v>
      </c>
      <c r="AZ102" s="87">
        <f t="shared" si="24"/>
        <v>20.399999999999959</v>
      </c>
      <c r="BA102" s="87">
        <f t="shared" si="25"/>
        <v>17.81197146939688</v>
      </c>
      <c r="BL102" s="104">
        <f t="shared" si="50"/>
        <v>0</v>
      </c>
      <c r="BM102" s="87">
        <f t="shared" si="51"/>
        <v>0</v>
      </c>
      <c r="BN102" s="87"/>
      <c r="BO102" s="87"/>
      <c r="BP102" s="87"/>
      <c r="BQ102" s="87"/>
      <c r="BR102" s="87"/>
    </row>
    <row r="103" spans="2:70" x14ac:dyDescent="0.25">
      <c r="H103" s="205">
        <f>K75</f>
        <v>13</v>
      </c>
      <c r="I103" s="206">
        <f>K76*K90</f>
        <v>0</v>
      </c>
      <c r="J103" s="143"/>
      <c r="K103" s="150" t="s">
        <v>230</v>
      </c>
      <c r="L103" s="98" t="s">
        <v>234</v>
      </c>
      <c r="AO103" s="87">
        <f t="shared" si="53"/>
        <v>20.599999999999959</v>
      </c>
      <c r="AP103" s="126" t="str">
        <f t="shared" si="16"/>
        <v>0.0001-1.84893203883496i</v>
      </c>
      <c r="AQ103" s="105" t="str">
        <f t="shared" si="17"/>
        <v>0.000001-0.118046646217794i</v>
      </c>
      <c r="AR103" s="105" t="str">
        <f t="shared" si="18"/>
        <v>0.0243176091208656+50.094274788983i</v>
      </c>
      <c r="AS103" s="93" t="str">
        <f t="shared" si="55"/>
        <v>19.8528960862747+0.0001i</v>
      </c>
      <c r="AT103" s="87"/>
      <c r="AU103" s="87" t="str">
        <f t="shared" si="19"/>
        <v>0.0243186091208656+49.9762281427652i</v>
      </c>
      <c r="AV103" s="87" t="str">
        <f t="shared" si="20"/>
        <v>0.477797197025+992.172866534136i</v>
      </c>
      <c r="AW103" s="87" t="str">
        <f t="shared" si="21"/>
        <v>19.8772146953956+49.9763281427652i</v>
      </c>
      <c r="AX103" s="87" t="str">
        <f t="shared" si="22"/>
        <v>17.1445428210618+6.80938304109659i</v>
      </c>
      <c r="AY103" s="87" t="str">
        <f t="shared" si="23"/>
        <v>17.1446428210618+4.96045100226163i</v>
      </c>
      <c r="AZ103" s="87">
        <f t="shared" si="24"/>
        <v>20.599999999999959</v>
      </c>
      <c r="BA103" s="87">
        <f t="shared" si="25"/>
        <v>17.847824842473784</v>
      </c>
      <c r="BL103" s="104">
        <f t="shared" si="50"/>
        <v>0</v>
      </c>
      <c r="BM103" s="87">
        <f t="shared" si="51"/>
        <v>0</v>
      </c>
      <c r="BN103" s="87"/>
      <c r="BO103" s="87"/>
      <c r="BP103" s="87"/>
      <c r="BQ103" s="87"/>
      <c r="BR103" s="87"/>
    </row>
    <row r="104" spans="2:70" x14ac:dyDescent="0.25">
      <c r="B104" s="225"/>
      <c r="H104" s="138">
        <f>D81</f>
        <v>17</v>
      </c>
      <c r="I104" s="204">
        <f>D82*K90</f>
        <v>0</v>
      </c>
      <c r="J104" s="143"/>
      <c r="K104" s="213" t="s">
        <v>244</v>
      </c>
      <c r="L104" s="98" t="s">
        <v>245</v>
      </c>
      <c r="AO104" s="87">
        <f t="shared" si="53"/>
        <v>20.799999999999958</v>
      </c>
      <c r="AP104" s="126" t="str">
        <f t="shared" si="16"/>
        <v>0.0001-1.83115384615385i</v>
      </c>
      <c r="AQ104" s="105" t="str">
        <f t="shared" si="17"/>
        <v>0.000001-0.116911582311854i</v>
      </c>
      <c r="AR104" s="105" t="str">
        <f t="shared" si="18"/>
        <v>0.0243176091208656+50.5806269714003i</v>
      </c>
      <c r="AS104" s="93" t="str">
        <f t="shared" si="55"/>
        <v>19.8528960862747+0.0001i</v>
      </c>
      <c r="AT104" s="87"/>
      <c r="AU104" s="87" t="str">
        <f t="shared" si="19"/>
        <v>0.0243186091208656+50.4637153890884i</v>
      </c>
      <c r="AV104" s="87" t="str">
        <f t="shared" si="20"/>
        <v>0.477748448300368+1001.85090017877i</v>
      </c>
      <c r="AW104" s="87" t="str">
        <f t="shared" si="21"/>
        <v>19.8772146953956+50.4638153890884i</v>
      </c>
      <c r="AX104" s="87" t="str">
        <f t="shared" si="22"/>
        <v>17.189621494358+6.76136050944372i</v>
      </c>
      <c r="AY104" s="87" t="str">
        <f t="shared" si="23"/>
        <v>17.189721494358+4.93020666328987i</v>
      </c>
      <c r="AZ104" s="87">
        <f t="shared" si="24"/>
        <v>20.799999999999958</v>
      </c>
      <c r="BA104" s="87">
        <f t="shared" si="25"/>
        <v>17.88276999785943</v>
      </c>
      <c r="BL104" s="104">
        <f t="shared" si="50"/>
        <v>0</v>
      </c>
      <c r="BM104" s="87">
        <f t="shared" si="51"/>
        <v>0</v>
      </c>
      <c r="BN104" s="87"/>
      <c r="BO104" s="87"/>
      <c r="BP104" s="87"/>
      <c r="BQ104" s="87"/>
      <c r="BR104" s="87"/>
    </row>
    <row r="105" spans="2:70" x14ac:dyDescent="0.25">
      <c r="B105" s="225"/>
      <c r="H105" s="205">
        <f>E81</f>
        <v>19</v>
      </c>
      <c r="I105" s="206">
        <f>E82*K90</f>
        <v>0</v>
      </c>
      <c r="J105" s="143"/>
      <c r="K105" s="213" t="s">
        <v>246</v>
      </c>
      <c r="L105" s="98" t="s">
        <v>247</v>
      </c>
      <c r="AO105" s="87">
        <f t="shared" si="53"/>
        <v>20.999999999999957</v>
      </c>
      <c r="AP105" s="126" t="str">
        <f t="shared" si="16"/>
        <v>0.0001-1.81371428571429i</v>
      </c>
      <c r="AQ105" s="105" t="str">
        <f t="shared" si="17"/>
        <v>0.000001-0.115798138670789i</v>
      </c>
      <c r="AR105" s="105" t="str">
        <f t="shared" si="18"/>
        <v>0.0243176091208656+51.0669791538176i</v>
      </c>
      <c r="AS105" s="93" t="str">
        <f t="shared" si="55"/>
        <v>19.8528960862747+0.0001i</v>
      </c>
      <c r="AT105" s="87"/>
      <c r="AU105" s="87" t="str">
        <f t="shared" si="19"/>
        <v>0.0243186091208656+50.9511810151468i</v>
      </c>
      <c r="AV105" s="87" t="str">
        <f t="shared" si="20"/>
        <v>0.477699701737762+1011.52850459854i</v>
      </c>
      <c r="AW105" s="87" t="str">
        <f t="shared" si="21"/>
        <v>19.8772146953956+50.9512810151468i</v>
      </c>
      <c r="AX105" s="87" t="str">
        <f t="shared" si="22"/>
        <v>17.2336384400841+6.71384555479464i</v>
      </c>
      <c r="AY105" s="87" t="str">
        <f t="shared" si="23"/>
        <v>17.2337384400841+4.90013126908035i</v>
      </c>
      <c r="AZ105" s="87">
        <f t="shared" si="24"/>
        <v>20.999999999999957</v>
      </c>
      <c r="BA105" s="87">
        <f t="shared" si="25"/>
        <v>17.916836413704605</v>
      </c>
      <c r="BL105" s="104">
        <f t="shared" si="50"/>
        <v>0</v>
      </c>
      <c r="BM105" s="87">
        <f t="shared" si="51"/>
        <v>0</v>
      </c>
      <c r="BN105" s="87"/>
      <c r="BO105" s="87"/>
      <c r="BP105" s="87"/>
      <c r="BQ105" s="87"/>
      <c r="BR105" s="87"/>
    </row>
    <row r="106" spans="2:70" x14ac:dyDescent="0.25">
      <c r="B106" s="226" t="str">
        <f>"Main Capacitor: Qty("&amp;D31*3&amp;"), "&amp;ROUND(D32,0)&amp;" kvar, "&amp;D29&amp;" kV, "&amp;ROUND(K32,2)&amp;" µF/Can"</f>
        <v>Main Capacitor: Qty(15), 521 kvar, 9.96 kV, 13.93 µF/Can</v>
      </c>
      <c r="H106" s="138">
        <f>F81</f>
        <v>23</v>
      </c>
      <c r="I106" s="203">
        <f>F82*K90</f>
        <v>0</v>
      </c>
      <c r="J106" s="143"/>
      <c r="K106" s="150" t="s">
        <v>231</v>
      </c>
      <c r="L106" s="98" t="s">
        <v>250</v>
      </c>
      <c r="AO106" s="87">
        <f t="shared" si="53"/>
        <v>21.199999999999957</v>
      </c>
      <c r="AP106" s="126" t="str">
        <f t="shared" si="16"/>
        <v>0.0001-1.79660377358491i</v>
      </c>
      <c r="AQ106" s="105" t="str">
        <f t="shared" si="17"/>
        <v>0.000001-0.11470570340031i</v>
      </c>
      <c r="AR106" s="105" t="str">
        <f t="shared" si="18"/>
        <v>0.0243176091208656+51.5533313362349i</v>
      </c>
      <c r="AS106" s="93" t="str">
        <f t="shared" si="55"/>
        <v>19.8528960862747+0.0001i</v>
      </c>
      <c r="AT106" s="87"/>
      <c r="AU106" s="87" t="str">
        <f t="shared" si="19"/>
        <v>0.0243186091208656+51.4386256328346i</v>
      </c>
      <c r="AV106" s="87" t="str">
        <f t="shared" si="20"/>
        <v>0.477650957275993+1021.20569194131i</v>
      </c>
      <c r="AW106" s="87" t="str">
        <f t="shared" si="21"/>
        <v>19.8772146953956+51.4387256328346i</v>
      </c>
      <c r="AX106" s="87" t="str">
        <f t="shared" si="22"/>
        <v>17.276624894841+6.6668356781839i</v>
      </c>
      <c r="AY106" s="87" t="str">
        <f t="shared" si="23"/>
        <v>17.276724894841+4.87023190459899i</v>
      </c>
      <c r="AZ106" s="87">
        <f t="shared" si="24"/>
        <v>21.199999999999957</v>
      </c>
      <c r="BA106" s="87">
        <f t="shared" si="25"/>
        <v>17.950052420441359</v>
      </c>
      <c r="BL106" s="104">
        <f t="shared" si="50"/>
        <v>0</v>
      </c>
      <c r="BM106" s="87">
        <f t="shared" si="51"/>
        <v>0</v>
      </c>
      <c r="BN106" s="87"/>
      <c r="BO106" s="87"/>
      <c r="BP106" s="87"/>
      <c r="BQ106" s="87"/>
      <c r="BR106" s="87"/>
    </row>
    <row r="107" spans="2:70" x14ac:dyDescent="0.25">
      <c r="D107" s="4"/>
      <c r="F107" s="4"/>
      <c r="H107" s="205">
        <f>G81</f>
        <v>25</v>
      </c>
      <c r="I107" s="206">
        <f>G82*K90</f>
        <v>0</v>
      </c>
      <c r="J107" s="143"/>
      <c r="K107" s="150" t="s">
        <v>232</v>
      </c>
      <c r="L107" s="98" t="s">
        <v>235</v>
      </c>
      <c r="AO107" s="87">
        <f t="shared" si="53"/>
        <v>21.399999999999956</v>
      </c>
      <c r="AP107" s="126" t="str">
        <f t="shared" si="16"/>
        <v>0.0001-1.77981308411215i</v>
      </c>
      <c r="AQ107" s="105" t="str">
        <f t="shared" si="17"/>
        <v>0.000001-0.11363368748068i</v>
      </c>
      <c r="AR107" s="105" t="str">
        <f t="shared" si="18"/>
        <v>0.0243176091208656+52.0396835186522i</v>
      </c>
      <c r="AS107" s="93" t="str">
        <f t="shared" si="55"/>
        <v>19.8528960862747+0.0001i</v>
      </c>
      <c r="AT107" s="87"/>
      <c r="AU107" s="87" t="str">
        <f t="shared" si="19"/>
        <v>0.0243186091208656+51.9260498311715i</v>
      </c>
      <c r="AV107" s="87" t="str">
        <f t="shared" si="20"/>
        <v>0.47760221485616+1030.88247390083i</v>
      </c>
      <c r="AW107" s="87" t="str">
        <f t="shared" si="21"/>
        <v>19.8772146953956+51.9261498311715i</v>
      </c>
      <c r="AX107" s="87" t="str">
        <f t="shared" si="22"/>
        <v>17.3186110338064+6.62032807454165i</v>
      </c>
      <c r="AY107" s="87" t="str">
        <f t="shared" si="23"/>
        <v>17.3187110338064+4.8405149904295i</v>
      </c>
      <c r="AZ107" s="87">
        <f t="shared" si="24"/>
        <v>21.399999999999956</v>
      </c>
      <c r="BA107" s="87">
        <f t="shared" si="25"/>
        <v>17.982445252107965</v>
      </c>
      <c r="BL107" s="104">
        <f t="shared" si="50"/>
        <v>0</v>
      </c>
      <c r="BM107" s="87">
        <f t="shared" si="51"/>
        <v>0</v>
      </c>
      <c r="BN107" s="87"/>
      <c r="BO107" s="87"/>
      <c r="BP107" s="87"/>
      <c r="BQ107" s="87"/>
      <c r="BR107" s="87"/>
    </row>
    <row r="108" spans="2:70" x14ac:dyDescent="0.25">
      <c r="D108" s="224"/>
      <c r="E108" s="97"/>
      <c r="F108" s="224"/>
      <c r="H108" s="90">
        <f>H81</f>
        <v>29</v>
      </c>
      <c r="I108" s="203">
        <f>H82*K90</f>
        <v>0</v>
      </c>
      <c r="J108" s="143"/>
      <c r="K108" s="150" t="s">
        <v>237</v>
      </c>
      <c r="L108" s="214" t="s">
        <v>249</v>
      </c>
      <c r="AO108" s="87">
        <f t="shared" si="53"/>
        <v>21.599999999999955</v>
      </c>
      <c r="AP108" s="126" t="str">
        <f t="shared" si="16"/>
        <v>0.0001-1.76333333333334i</v>
      </c>
      <c r="AQ108" s="105" t="str">
        <f t="shared" si="17"/>
        <v>0.000001-0.112581523707711i</v>
      </c>
      <c r="AR108" s="105" t="str">
        <f t="shared" si="18"/>
        <v>0.0243176091208656+52.5260357010695i</v>
      </c>
      <c r="AS108" s="93" t="str">
        <f t="shared" si="55"/>
        <v>19.8528960862747+0.0001i</v>
      </c>
      <c r="AT108" s="87"/>
      <c r="AU108" s="87" t="str">
        <f t="shared" si="19"/>
        <v>0.0243186091208656+52.4134541773618i</v>
      </c>
      <c r="AV108" s="87" t="str">
        <f t="shared" si="20"/>
        <v>0.477553474421541+1040.55886173775i</v>
      </c>
      <c r="AW108" s="87" t="str">
        <f t="shared" si="21"/>
        <v>19.8772146953956+52.4135541773618i</v>
      </c>
      <c r="AX108" s="87" t="str">
        <f t="shared" si="22"/>
        <v>17.359626009596+6.57431966136198i</v>
      </c>
      <c r="AY108" s="87" t="str">
        <f t="shared" si="23"/>
        <v>17.359726009596+4.81098632802864i</v>
      </c>
      <c r="AZ108" s="87">
        <f t="shared" si="24"/>
        <v>21.599999999999955</v>
      </c>
      <c r="BA108" s="87">
        <f t="shared" si="25"/>
        <v>18.014041095121392</v>
      </c>
      <c r="BL108" s="104">
        <f t="shared" si="50"/>
        <v>0</v>
      </c>
      <c r="BM108" s="87">
        <f t="shared" si="51"/>
        <v>0</v>
      </c>
      <c r="BN108" s="87"/>
      <c r="BO108" s="87"/>
      <c r="BP108" s="87"/>
      <c r="BQ108" s="87"/>
      <c r="BR108" s="87"/>
    </row>
    <row r="109" spans="2:70" x14ac:dyDescent="0.25">
      <c r="B109" s="325" t="str">
        <f>D8&amp;"kV, "&amp;D11&amp;"Hz C-High-Pass Filter, Wye-Connected"</f>
        <v>13.8kV, 60Hz C-High-Pass Filter, Wye-Connected</v>
      </c>
      <c r="C109" s="325"/>
      <c r="D109" s="325"/>
      <c r="E109" s="325"/>
      <c r="F109" s="97"/>
      <c r="H109" s="205">
        <f>I81</f>
        <v>31</v>
      </c>
      <c r="I109" s="206">
        <f>I82*K90</f>
        <v>0</v>
      </c>
      <c r="J109" s="143"/>
      <c r="K109" s="87"/>
      <c r="L109" s="87"/>
      <c r="AO109" s="87">
        <f t="shared" si="53"/>
        <v>21.799999999999955</v>
      </c>
      <c r="AP109" s="126" t="str">
        <f t="shared" si="16"/>
        <v>0.0001-1.74715596330276i</v>
      </c>
      <c r="AQ109" s="105" t="str">
        <f t="shared" si="17"/>
        <v>0.000001-0.111548665692044i</v>
      </c>
      <c r="AR109" s="105" t="str">
        <f t="shared" si="18"/>
        <v>0.0243176091208656+53.0123878834868i</v>
      </c>
      <c r="AS109" s="93" t="str">
        <f t="shared" si="55"/>
        <v>19.8528960862747+0.0001i</v>
      </c>
      <c r="AT109" s="87"/>
      <c r="AU109" s="87" t="str">
        <f t="shared" si="19"/>
        <v>0.0243186091208656+52.9008392177948i</v>
      </c>
      <c r="AV109" s="87" t="str">
        <f t="shared" si="20"/>
        <v>0.477504735917497+1050.23486629947i</v>
      </c>
      <c r="AW109" s="87" t="str">
        <f t="shared" si="21"/>
        <v>19.8772146953956+52.9009392177948i</v>
      </c>
      <c r="AX109" s="87" t="str">
        <f t="shared" si="22"/>
        <v>17.3996979897358+6.52880710527964i</v>
      </c>
      <c r="AY109" s="87" t="str">
        <f t="shared" si="23"/>
        <v>17.3997979897358+4.78165114197688i</v>
      </c>
      <c r="AZ109" s="87">
        <f t="shared" si="24"/>
        <v>21.799999999999955</v>
      </c>
      <c r="BA109" s="87">
        <f t="shared" si="25"/>
        <v>18.044865134635469</v>
      </c>
      <c r="BL109" s="104">
        <f t="shared" si="50"/>
        <v>0</v>
      </c>
      <c r="BM109" s="87">
        <f t="shared" si="51"/>
        <v>0</v>
      </c>
      <c r="BN109" s="87"/>
      <c r="BO109" s="87"/>
      <c r="BP109" s="87"/>
      <c r="BQ109" s="87"/>
      <c r="BR109" s="87"/>
    </row>
    <row r="110" spans="2:70" x14ac:dyDescent="0.25">
      <c r="B110" s="326" t="str">
        <f>FIXED(D9/1000,2)&amp;" MVAR 3-Phase, "&amp;FIXED(D10,1)&amp;" Tuning"</f>
        <v>5.00 MVAR 3-Phase, 4.1 Tuning</v>
      </c>
      <c r="C110" s="326"/>
      <c r="D110" s="326"/>
      <c r="E110" s="326"/>
      <c r="H110" s="138">
        <f>J81</f>
        <v>35</v>
      </c>
      <c r="I110" s="203">
        <f>J82*K90</f>
        <v>0</v>
      </c>
      <c r="J110" s="143"/>
      <c r="K110" s="87"/>
      <c r="L110" s="87"/>
      <c r="AO110" s="87">
        <f t="shared" si="53"/>
        <v>21.999999999999954</v>
      </c>
      <c r="AP110" s="126" t="str">
        <f t="shared" si="16"/>
        <v>0.0001-1.73127272727273i</v>
      </c>
      <c r="AQ110" s="105" t="str">
        <f t="shared" si="17"/>
        <v>0.000001-0.110534586913026i</v>
      </c>
      <c r="AR110" s="105" t="str">
        <f t="shared" si="18"/>
        <v>0.0243176091208656+53.4987400659042i</v>
      </c>
      <c r="AS110" s="93" t="str">
        <f t="shared" si="55"/>
        <v>19.8528960862747+0.0001i</v>
      </c>
      <c r="AT110" s="87"/>
      <c r="AU110" s="87" t="str">
        <f t="shared" si="19"/>
        <v>0.0243186091208656+53.3882054789912i</v>
      </c>
      <c r="AV110" s="87" t="str">
        <f t="shared" si="20"/>
        <v>0.477455999291378+1059.91049803895i</v>
      </c>
      <c r="AW110" s="87" t="str">
        <f t="shared" si="21"/>
        <v>19.8772146953956+53.3883054789912i</v>
      </c>
      <c r="AX110" s="87" t="str">
        <f t="shared" si="22"/>
        <v>17.438854192783+6.48378684670134i</v>
      </c>
      <c r="AY110" s="87" t="str">
        <f t="shared" si="23"/>
        <v>17.438954192783+4.75251411942861i</v>
      </c>
      <c r="AZ110" s="87">
        <f t="shared" si="24"/>
        <v>21.999999999999954</v>
      </c>
      <c r="BA110" s="87">
        <f t="shared" si="25"/>
        <v>18.074941598615254</v>
      </c>
      <c r="BL110" s="104">
        <f t="shared" si="50"/>
        <v>0</v>
      </c>
      <c r="BM110" s="87">
        <f t="shared" si="51"/>
        <v>0</v>
      </c>
      <c r="BN110" s="87"/>
      <c r="BO110" s="87"/>
      <c r="BP110" s="87"/>
      <c r="BQ110" s="87"/>
      <c r="BR110" s="87"/>
    </row>
    <row r="111" spans="2:70" x14ac:dyDescent="0.25">
      <c r="H111" s="205">
        <f>K81</f>
        <v>37</v>
      </c>
      <c r="I111" s="208">
        <f>K82*K90</f>
        <v>0</v>
      </c>
      <c r="J111" s="87"/>
      <c r="K111" s="87"/>
      <c r="L111" s="87"/>
      <c r="AO111" s="87">
        <f t="shared" si="53"/>
        <v>22.199999999999953</v>
      </c>
      <c r="AP111" s="126" t="str">
        <f t="shared" si="16"/>
        <v>0.0001-1.71567567567568i</v>
      </c>
      <c r="AQ111" s="105" t="str">
        <f t="shared" si="17"/>
        <v>0.000001-0.109538779823719i</v>
      </c>
      <c r="AR111" s="105" t="str">
        <f t="shared" si="18"/>
        <v>0.0243176091208656+53.9850922483215i</v>
      </c>
      <c r="AS111" s="93" t="str">
        <f t="shared" si="55"/>
        <v>19.8528960862747+0.0001i</v>
      </c>
      <c r="AT111" s="87"/>
      <c r="AU111" s="87" t="str">
        <f t="shared" si="19"/>
        <v>0.0243186091208656+53.8755534684978i</v>
      </c>
      <c r="AV111" s="87" t="str">
        <f t="shared" si="20"/>
        <v>0.477407264492427+1069.58576703248i</v>
      </c>
      <c r="AW111" s="87" t="str">
        <f t="shared" si="21"/>
        <v>19.8772146953956+53.8756534684978i</v>
      </c>
      <c r="AX111" s="87" t="str">
        <f t="shared" si="22"/>
        <v>17.4771209231299+6.43925512262792i</v>
      </c>
      <c r="AY111" s="87" t="str">
        <f t="shared" si="23"/>
        <v>17.4772209231299+4.72357944695224i</v>
      </c>
      <c r="AZ111" s="87">
        <f t="shared" si="24"/>
        <v>22.199999999999953</v>
      </c>
      <c r="BA111" s="87">
        <f t="shared" si="25"/>
        <v>18.10429379974704</v>
      </c>
      <c r="BL111" s="104">
        <f t="shared" si="50"/>
        <v>0</v>
      </c>
      <c r="BM111" s="87">
        <f t="shared" si="51"/>
        <v>0</v>
      </c>
      <c r="BN111" s="87"/>
      <c r="BO111" s="87"/>
      <c r="BP111" s="87"/>
      <c r="BQ111" s="87"/>
      <c r="BR111" s="87"/>
    </row>
    <row r="112" spans="2:70" ht="15.75" thickBot="1" x14ac:dyDescent="0.3">
      <c r="H112" s="209" t="s">
        <v>226</v>
      </c>
      <c r="I112" s="210">
        <f>BM113</f>
        <v>346.84113434557395</v>
      </c>
      <c r="J112" s="87" t="s">
        <v>0</v>
      </c>
      <c r="K112" s="87"/>
      <c r="L112" s="87"/>
      <c r="AO112" s="87">
        <f t="shared" si="53"/>
        <v>22.399999999999952</v>
      </c>
      <c r="AP112" s="126" t="str">
        <f t="shared" si="16"/>
        <v>0.0001-1.70035714285715i</v>
      </c>
      <c r="AQ112" s="105" t="str">
        <f t="shared" si="17"/>
        <v>0.000001-0.108560755003864i</v>
      </c>
      <c r="AR112" s="105" t="str">
        <f t="shared" si="18"/>
        <v>0.0243176091208656+54.4714444307388i</v>
      </c>
      <c r="AS112" s="93" t="str">
        <f t="shared" si="55"/>
        <v>19.8528960862747+0.0001i</v>
      </c>
      <c r="AT112" s="87"/>
      <c r="AU112" s="87" t="str">
        <f t="shared" si="19"/>
        <v>0.0243186091208656+54.3628836757349i</v>
      </c>
      <c r="AV112" s="87" t="str">
        <f t="shared" si="20"/>
        <v>0.477358531471703+1079.26068299646i</v>
      </c>
      <c r="AW112" s="87" t="str">
        <f t="shared" si="21"/>
        <v>19.8772146953956+54.3629836757349i</v>
      </c>
      <c r="AX112" s="87" t="str">
        <f t="shared" si="22"/>
        <v>17.5145236045307+6.39520798779371i</v>
      </c>
      <c r="AY112" s="87" t="str">
        <f t="shared" si="23"/>
        <v>17.5146236045307+4.69485084493656i</v>
      </c>
      <c r="AZ112" s="87">
        <f t="shared" si="24"/>
        <v>22.399999999999952</v>
      </c>
      <c r="BA112" s="87">
        <f t="shared" si="25"/>
        <v>18.132944175301084</v>
      </c>
      <c r="BL112" s="104"/>
      <c r="BM112" s="87">
        <f>SUM(BM96:BM111)</f>
        <v>120298.77247412449</v>
      </c>
      <c r="BN112" s="87"/>
      <c r="BO112" s="87"/>
      <c r="BP112" s="87"/>
      <c r="BQ112" s="87"/>
      <c r="BR112" s="87"/>
    </row>
    <row r="113" spans="2:70" ht="15.75" thickTop="1" x14ac:dyDescent="0.25"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AO113" s="87">
        <f t="shared" si="53"/>
        <v>22.599999999999952</v>
      </c>
      <c r="AP113" s="126" t="str">
        <f t="shared" si="16"/>
        <v>0.0001-1.68530973451328i</v>
      </c>
      <c r="AQ113" s="105" t="str">
        <f t="shared" si="17"/>
        <v>0.000001-0.107600040357813i</v>
      </c>
      <c r="AR113" s="105" t="str">
        <f t="shared" si="18"/>
        <v>0.0243176091208656+54.9577966131561i</v>
      </c>
      <c r="AS113" s="93" t="str">
        <f t="shared" si="55"/>
        <v>19.8528960862747+0.0001i</v>
      </c>
      <c r="AT113" s="87"/>
      <c r="AU113" s="87" t="str">
        <f t="shared" si="19"/>
        <v>0.0243186091208656+54.8501965727983i</v>
      </c>
      <c r="AV113" s="87" t="str">
        <f t="shared" si="20"/>
        <v>0.477309800181997+1088.93525530337i</v>
      </c>
      <c r="AW113" s="87" t="str">
        <f t="shared" si="21"/>
        <v>19.8772146953956+54.8502965727983i</v>
      </c>
      <c r="AX113" s="87" t="str">
        <f t="shared" si="22"/>
        <v>17.5510868123895+6.35164133424188i</v>
      </c>
      <c r="AY113" s="87" t="str">
        <f t="shared" si="23"/>
        <v>17.5511868123895+4.6663315997286i</v>
      </c>
      <c r="AZ113" s="87">
        <f t="shared" si="24"/>
        <v>22.599999999999952</v>
      </c>
      <c r="BA113" s="87">
        <f t="shared" si="25"/>
        <v>18.160914325055902</v>
      </c>
      <c r="BL113" s="104"/>
      <c r="BM113" s="87">
        <f>SQRT(BM112)</f>
        <v>346.84113434557395</v>
      </c>
      <c r="BN113" s="87" t="s">
        <v>227</v>
      </c>
      <c r="BO113" s="87"/>
      <c r="BP113" s="87"/>
      <c r="BQ113" s="87"/>
      <c r="BR113" s="87"/>
    </row>
    <row r="114" spans="2:70" x14ac:dyDescent="0.25">
      <c r="B114" s="4" t="s">
        <v>21</v>
      </c>
      <c r="AO114" s="87">
        <f t="shared" si="53"/>
        <v>22.799999999999951</v>
      </c>
      <c r="AP114" s="126" t="str">
        <f t="shared" si="16"/>
        <v>0.0001-1.67052631578948i</v>
      </c>
      <c r="AQ114" s="105" t="str">
        <f t="shared" si="17"/>
        <v>0.000001-0.106656180354674i</v>
      </c>
      <c r="AR114" s="105" t="str">
        <f t="shared" si="18"/>
        <v>0.0243176091208656+55.4441487955734i</v>
      </c>
      <c r="AS114" s="93" t="str">
        <f t="shared" si="55"/>
        <v>19.8528960862747+0.0001i</v>
      </c>
      <c r="AT114" s="87"/>
      <c r="AU114" s="87" t="str">
        <f t="shared" si="19"/>
        <v>0.0243186091208656+55.3374926152187i</v>
      </c>
      <c r="AV114" s="87" t="str">
        <f t="shared" si="20"/>
        <v>0.477261070577755+1098.60949299679i</v>
      </c>
      <c r="AW114" s="87" t="str">
        <f t="shared" si="21"/>
        <v>19.8772146953956+55.3375926152187i</v>
      </c>
      <c r="AX114" s="87" t="str">
        <f t="shared" si="22"/>
        <v>17.5868343048462+6.30855090944434i</v>
      </c>
      <c r="AY114" s="87" t="str">
        <f t="shared" si="23"/>
        <v>17.5869343048462+4.63802459365486i</v>
      </c>
      <c r="AZ114" s="87">
        <f t="shared" si="24"/>
        <v>22.799999999999951</v>
      </c>
      <c r="BA114" s="87">
        <f t="shared" si="25"/>
        <v>18.188225047385011</v>
      </c>
    </row>
    <row r="115" spans="2:70" ht="18" x14ac:dyDescent="0.35">
      <c r="B115" s="4" t="s">
        <v>36</v>
      </c>
      <c r="C115" t="s">
        <v>13</v>
      </c>
      <c r="AO115" s="87">
        <f t="shared" si="53"/>
        <v>22.99999999999995</v>
      </c>
      <c r="AP115" s="126" t="str">
        <f t="shared" si="16"/>
        <v>0.0001-1.656i</v>
      </c>
      <c r="AQ115" s="105" t="str">
        <f t="shared" si="17"/>
        <v>0.000001-0.105728735308111i</v>
      </c>
      <c r="AR115" s="105" t="str">
        <f t="shared" si="18"/>
        <v>0.0243176091208656+55.9305009779907i</v>
      </c>
      <c r="AS115" s="93" t="str">
        <f t="shared" si="55"/>
        <v>19.8528960862747+0.0001i</v>
      </c>
      <c r="AT115" s="87"/>
      <c r="AU115" s="87" t="str">
        <f t="shared" si="19"/>
        <v>0.0243186091208656+55.8247722426826i</v>
      </c>
      <c r="AV115" s="87" t="str">
        <f t="shared" si="20"/>
        <v>0.477212342615009+1108.28340480579i</v>
      </c>
      <c r="AW115" s="87" t="str">
        <f t="shared" si="21"/>
        <v>19.8772146953956+55.8248722426826i</v>
      </c>
      <c r="AX115" s="87" t="str">
        <f t="shared" si="22"/>
        <v>17.6217890527012+6.26593233306949i</v>
      </c>
      <c r="AY115" s="87" t="str">
        <f t="shared" si="23"/>
        <v>17.6218890527012+4.60993233306949i</v>
      </c>
      <c r="AZ115" s="87">
        <f t="shared" si="24"/>
        <v>22.99999999999995</v>
      </c>
      <c r="BA115" s="87">
        <f t="shared" si="25"/>
        <v>18.214896373605583</v>
      </c>
    </row>
    <row r="116" spans="2:70" ht="18" x14ac:dyDescent="0.35">
      <c r="B116" s="4" t="s">
        <v>37</v>
      </c>
      <c r="C116" t="s">
        <v>61</v>
      </c>
      <c r="AO116" s="87">
        <f t="shared" si="53"/>
        <v>23.19999999999995</v>
      </c>
      <c r="AP116" s="126" t="str">
        <f t="shared" si="16"/>
        <v>0.0001-1.64172413793104i</v>
      </c>
      <c r="AQ116" s="105" t="str">
        <f t="shared" si="17"/>
        <v>0.000001-0.104817280693386i</v>
      </c>
      <c r="AR116" s="105" t="str">
        <f t="shared" si="18"/>
        <v>0.0243176091208656+56.416853160408i</v>
      </c>
      <c r="AS116" s="93" t="str">
        <f t="shared" si="55"/>
        <v>19.8528960862747+0.0001i</v>
      </c>
      <c r="AT116" s="87"/>
      <c r="AU116" s="87" t="str">
        <f t="shared" si="19"/>
        <v>0.0243186091208656+56.3120358797146i</v>
      </c>
      <c r="AV116" s="87" t="str">
        <f t="shared" si="20"/>
        <v>0.477163616251305+1117.95699915841i</v>
      </c>
      <c r="AW116" s="87" t="str">
        <f t="shared" si="21"/>
        <v>19.8772146953956+56.3121358797146i</v>
      </c>
      <c r="AX116" s="87" t="str">
        <f t="shared" si="22"/>
        <v>17.655973268214+6.22378111249116i</v>
      </c>
      <c r="AY116" s="87" t="str">
        <f t="shared" si="23"/>
        <v>17.656073268214+4.58205697456012i</v>
      </c>
      <c r="AZ116" s="87">
        <f t="shared" si="24"/>
        <v>23.19999999999995</v>
      </c>
      <c r="BA116" s="87">
        <f t="shared" si="25"/>
        <v>18.24094760067733</v>
      </c>
    </row>
    <row r="117" spans="2:70" ht="18" x14ac:dyDescent="0.35">
      <c r="B117" s="4" t="s">
        <v>60</v>
      </c>
      <c r="C117" t="s">
        <v>62</v>
      </c>
      <c r="AO117" s="87">
        <f t="shared" si="53"/>
        <v>23.399999999999949</v>
      </c>
      <c r="AP117" s="126" t="str">
        <f t="shared" si="16"/>
        <v>0.0001-1.62769230769231i</v>
      </c>
      <c r="AQ117" s="105" t="str">
        <f t="shared" si="17"/>
        <v>0.000001-0.103921406499426i</v>
      </c>
      <c r="AR117" s="105" t="str">
        <f t="shared" si="18"/>
        <v>0.0243176091208656+56.9032053428253i</v>
      </c>
      <c r="AS117" s="93" t="str">
        <f t="shared" si="55"/>
        <v>19.8528960862747+0.0001i</v>
      </c>
      <c r="AT117" s="87"/>
      <c r="AU117" s="87" t="str">
        <f t="shared" si="19"/>
        <v>0.0243186091208656+56.7992839363259i</v>
      </c>
      <c r="AV117" s="87" t="str">
        <f t="shared" si="20"/>
        <v>0.477114891445644+1127.63028419455i</v>
      </c>
      <c r="AW117" s="87" t="str">
        <f t="shared" si="21"/>
        <v>19.8772146953956+56.7993839363259i</v>
      </c>
      <c r="AX117" s="87" t="str">
        <f t="shared" si="22"/>
        <v>17.6894084328157+6.18209265712834i</v>
      </c>
      <c r="AY117" s="87" t="str">
        <f t="shared" si="23"/>
        <v>17.6895084328157+4.55440034943603i</v>
      </c>
      <c r="AZ117" s="87">
        <f t="shared" si="24"/>
        <v>23.399999999999949</v>
      </c>
      <c r="BA117" s="87">
        <f t="shared" si="25"/>
        <v>18.266397322340296</v>
      </c>
    </row>
    <row r="118" spans="2:70" ht="18" x14ac:dyDescent="0.35">
      <c r="B118" s="4" t="s">
        <v>72</v>
      </c>
      <c r="C118" t="s">
        <v>73</v>
      </c>
      <c r="AO118" s="87">
        <f t="shared" si="53"/>
        <v>23.599999999999948</v>
      </c>
      <c r="AP118" s="126" t="str">
        <f t="shared" si="16"/>
        <v>0.0001-1.61389830508475i</v>
      </c>
      <c r="AQ118" s="105" t="str">
        <f t="shared" si="17"/>
        <v>0.000001-0.103040716613837i</v>
      </c>
      <c r="AR118" s="105" t="str">
        <f t="shared" si="18"/>
        <v>0.0243176091208656+57.3895575252426i</v>
      </c>
      <c r="AS118" s="93" t="str">
        <f t="shared" si="55"/>
        <v>19.8528960862747+0.0001i</v>
      </c>
      <c r="AT118" s="87"/>
      <c r="AU118" s="87" t="str">
        <f t="shared" si="19"/>
        <v>0.0243186091208656+57.2865168086288i</v>
      </c>
      <c r="AV118" s="87" t="str">
        <f t="shared" si="20"/>
        <v>0.477066168158414+1137.3032677782i</v>
      </c>
      <c r="AW118" s="87" t="str">
        <f t="shared" si="21"/>
        <v>19.8772146953956+57.2866168086288i</v>
      </c>
      <c r="AX118" s="87" t="str">
        <f t="shared" si="22"/>
        <v>17.7221153237723+6.14086229169735i</v>
      </c>
      <c r="AY118" s="87" t="str">
        <f t="shared" si="23"/>
        <v>17.7222153237723+4.5269639866126i</v>
      </c>
      <c r="AZ118" s="87">
        <f t="shared" si="24"/>
        <v>23.599999999999948</v>
      </c>
      <c r="BA118" s="87">
        <f t="shared" si="25"/>
        <v>18.2912634587728</v>
      </c>
    </row>
    <row r="119" spans="2:70" ht="18" x14ac:dyDescent="0.35">
      <c r="B119" s="4" t="s">
        <v>38</v>
      </c>
      <c r="C119" t="s">
        <v>14</v>
      </c>
      <c r="AO119" s="87">
        <f t="shared" si="53"/>
        <v>23.799999999999947</v>
      </c>
      <c r="AP119" s="126" t="str">
        <f t="shared" si="16"/>
        <v>0.0001-1.60033613445379i</v>
      </c>
      <c r="AQ119" s="105" t="str">
        <f t="shared" si="17"/>
        <v>0.000001-0.102174828238931i</v>
      </c>
      <c r="AR119" s="105" t="str">
        <f t="shared" si="18"/>
        <v>0.0243176091208656+57.8759097076599i</v>
      </c>
      <c r="AS119" s="93" t="str">
        <f t="shared" si="55"/>
        <v>19.8528960862747+0.0001i</v>
      </c>
      <c r="AT119" s="87"/>
      <c r="AU119" s="87" t="str">
        <f t="shared" si="19"/>
        <v>0.0243186091208656+57.773734879421i</v>
      </c>
      <c r="AV119" s="87" t="str">
        <f t="shared" si="20"/>
        <v>0.477017446351335+1146.97595750899i</v>
      </c>
      <c r="AW119" s="87" t="str">
        <f t="shared" si="21"/>
        <v>19.8772146953956+57.773834879421i</v>
      </c>
      <c r="AX119" s="87" t="str">
        <f t="shared" si="22"/>
        <v>17.7541140398334+6.10008526845234i</v>
      </c>
      <c r="AY119" s="87" t="str">
        <f t="shared" si="23"/>
        <v>17.7542140398334+4.49974913399855i</v>
      </c>
      <c r="AZ119" s="87">
        <f t="shared" si="24"/>
        <v>23.799999999999947</v>
      </c>
      <c r="BA119" s="87">
        <f t="shared" si="25"/>
        <v>18.315563284844345</v>
      </c>
    </row>
    <row r="120" spans="2:70" ht="18" x14ac:dyDescent="0.35">
      <c r="B120" s="4" t="s">
        <v>39</v>
      </c>
      <c r="C120" t="s">
        <v>15</v>
      </c>
      <c r="AO120" s="87">
        <f t="shared" si="53"/>
        <v>23.999999999999947</v>
      </c>
      <c r="AP120" s="126" t="str">
        <f t="shared" si="16"/>
        <v>0.0001-1.587i</v>
      </c>
      <c r="AQ120" s="105" t="str">
        <f t="shared" si="17"/>
        <v>0.000001-0.10132337133694i</v>
      </c>
      <c r="AR120" s="105" t="str">
        <f t="shared" si="18"/>
        <v>0.0243176091208656+58.3622618900772i</v>
      </c>
      <c r="AS120" s="93" t="str">
        <f t="shared" si="55"/>
        <v>19.8528960862747+0.0001i</v>
      </c>
      <c r="AT120" s="87"/>
      <c r="AU120" s="87" t="str">
        <f t="shared" si="19"/>
        <v>0.0243186091208656+58.2609385187403i</v>
      </c>
      <c r="AV120" s="87" t="str">
        <f t="shared" si="20"/>
        <v>0.476968725987403+1156.64836073325i</v>
      </c>
      <c r="AW120" s="87" t="str">
        <f t="shared" si="21"/>
        <v>19.8772146953956+58.2610385187403i</v>
      </c>
      <c r="AX120" s="87" t="str">
        <f t="shared" si="22"/>
        <v>17.7854240259054+6.05975677848617i</v>
      </c>
      <c r="AY120" s="87" t="str">
        <f t="shared" si="23"/>
        <v>17.7855240259054+4.47275677848617i</v>
      </c>
      <c r="AZ120" s="87">
        <f t="shared" si="24"/>
        <v>23.999999999999947</v>
      </c>
      <c r="BA120" s="87">
        <f t="shared" si="25"/>
        <v>18.339313457039559</v>
      </c>
    </row>
    <row r="121" spans="2:70" ht="18" x14ac:dyDescent="0.35">
      <c r="B121" s="4" t="s">
        <v>40</v>
      </c>
      <c r="C121" t="s">
        <v>16</v>
      </c>
      <c r="AO121" s="87">
        <f t="shared" si="53"/>
        <v>24.199999999999946</v>
      </c>
      <c r="AP121" s="126" t="str">
        <f t="shared" si="16"/>
        <v>0.0001-1.57388429752067i</v>
      </c>
      <c r="AQ121" s="105" t="str">
        <f t="shared" si="17"/>
        <v>0.000001-0.100485988102751i</v>
      </c>
      <c r="AR121" s="105" t="str">
        <f t="shared" si="18"/>
        <v>0.0243176091208656+58.8486140724946i</v>
      </c>
      <c r="AS121" s="93" t="str">
        <f t="shared" si="55"/>
        <v>19.8528960862747+0.0001i</v>
      </c>
      <c r="AT121" s="87"/>
      <c r="AU121" s="87" t="str">
        <f t="shared" si="19"/>
        <v>0.0243186091208656+58.7481280843918i</v>
      </c>
      <c r="AV121" s="87" t="str">
        <f t="shared" si="20"/>
        <v>0.476920007030838+1166.32048455445i</v>
      </c>
      <c r="AW121" s="87" t="str">
        <f t="shared" si="21"/>
        <v>19.8772146953956+58.7482280843918i</v>
      </c>
      <c r="AX121" s="87" t="str">
        <f t="shared" si="22"/>
        <v>17.8160640967816+6.01987196215684i</v>
      </c>
      <c r="AY121" s="87" t="str">
        <f t="shared" si="23"/>
        <v>17.8161640967816+4.44598766463617i</v>
      </c>
      <c r="AZ121" s="87">
        <f t="shared" si="24"/>
        <v>24.199999999999946</v>
      </c>
      <c r="BA121" s="87">
        <f t="shared" si="25"/>
        <v>18.362530039118973</v>
      </c>
    </row>
    <row r="122" spans="2:70" x14ac:dyDescent="0.25">
      <c r="B122" s="4" t="s">
        <v>4</v>
      </c>
      <c r="C122" t="s">
        <v>20</v>
      </c>
      <c r="AO122" s="87">
        <f t="shared" si="53"/>
        <v>24.399999999999945</v>
      </c>
      <c r="AP122" s="126" t="str">
        <f t="shared" si="16"/>
        <v>0.0001-1.56098360655738i</v>
      </c>
      <c r="AQ122" s="105" t="str">
        <f t="shared" si="17"/>
        <v>0.000001-0.0996623324625641i</v>
      </c>
      <c r="AR122" s="105" t="str">
        <f t="shared" si="18"/>
        <v>0.0243176091208656+59.3349662549119i</v>
      </c>
      <c r="AS122" s="93" t="str">
        <f t="shared" si="55"/>
        <v>19.8528960862747+0.0001i</v>
      </c>
      <c r="AT122" s="87"/>
      <c r="AU122" s="87" t="str">
        <f t="shared" si="19"/>
        <v>0.0243186091208656+59.2353039224493i</v>
      </c>
      <c r="AV122" s="87" t="str">
        <f t="shared" si="20"/>
        <v>0.476871289447032+1175.99233584315i</v>
      </c>
      <c r="AW122" s="87" t="str">
        <f t="shared" si="21"/>
        <v>19.8772146953956+59.2354039224493i</v>
      </c>
      <c r="AX122" s="87" t="str">
        <f t="shared" si="22"/>
        <v>17.8460524599645+5.98042591870135i</v>
      </c>
      <c r="AY122" s="87" t="str">
        <f t="shared" si="23"/>
        <v>17.8461524599645+4.41944231214397i</v>
      </c>
      <c r="AZ122" s="87">
        <f t="shared" si="24"/>
        <v>24.399999999999945</v>
      </c>
      <c r="BA122" s="87">
        <f t="shared" si="25"/>
        <v>18.385228526582569</v>
      </c>
    </row>
    <row r="123" spans="2:70" x14ac:dyDescent="0.25">
      <c r="B123" s="4" t="s">
        <v>7</v>
      </c>
      <c r="C123" t="s">
        <v>10</v>
      </c>
      <c r="AO123" s="87">
        <f t="shared" si="53"/>
        <v>24.599999999999945</v>
      </c>
      <c r="AP123" s="126" t="str">
        <f t="shared" si="16"/>
        <v>0.0001-1.54829268292683i</v>
      </c>
      <c r="AQ123" s="105" t="str">
        <f t="shared" si="17"/>
        <v>0.000001-0.0988520695970148i</v>
      </c>
      <c r="AR123" s="105" t="str">
        <f t="shared" si="18"/>
        <v>0.0243176091208656+59.8213184373292i</v>
      </c>
      <c r="AS123" s="93" t="str">
        <f t="shared" si="55"/>
        <v>19.8528960862747+0.0001i</v>
      </c>
      <c r="AT123" s="87"/>
      <c r="AU123" s="87" t="str">
        <f t="shared" si="19"/>
        <v>0.0243186091208656+59.7224663677322i</v>
      </c>
      <c r="AV123" s="87" t="str">
        <f t="shared" si="20"/>
        <v>0.476822573202504+1185.66392124648i</v>
      </c>
      <c r="AW123" s="87" t="str">
        <f t="shared" si="21"/>
        <v>19.8772146953956+59.7225663677322i</v>
      </c>
      <c r="AX123" s="87" t="str">
        <f t="shared" si="22"/>
        <v>17.8754067376144+5.94141371509439i</v>
      </c>
      <c r="AY123" s="87" t="str">
        <f t="shared" si="23"/>
        <v>17.8755067376144+4.39312103216756i</v>
      </c>
      <c r="AZ123" s="87">
        <f t="shared" si="24"/>
        <v>24.599999999999945</v>
      </c>
      <c r="BA123" s="87">
        <f t="shared" si="25"/>
        <v>18.407423869997963</v>
      </c>
    </row>
    <row r="124" spans="2:70" x14ac:dyDescent="0.25">
      <c r="B124" s="4" t="s">
        <v>6</v>
      </c>
      <c r="C124" t="s">
        <v>18</v>
      </c>
      <c r="AO124" s="87">
        <f t="shared" si="53"/>
        <v>24.799999999999944</v>
      </c>
      <c r="AP124" s="126" t="str">
        <f t="shared" si="16"/>
        <v>0.0001-1.53580645161291i</v>
      </c>
      <c r="AQ124" s="105" t="str">
        <f t="shared" si="17"/>
        <v>0.000001-0.0980548754873614i</v>
      </c>
      <c r="AR124" s="105" t="str">
        <f t="shared" si="18"/>
        <v>0.0243176091208656+60.3076706197465i</v>
      </c>
      <c r="AS124" s="93" t="str">
        <f t="shared" si="55"/>
        <v>19.8528960862747+0.0001i</v>
      </c>
      <c r="AT124" s="87"/>
      <c r="AU124" s="87" t="str">
        <f t="shared" si="19"/>
        <v>0.0243186091208656+60.2096157442591i</v>
      </c>
      <c r="AV124" s="87" t="str">
        <f t="shared" si="20"/>
        <v>0.476773858264851+1195.33524719717i</v>
      </c>
      <c r="AW124" s="87" t="str">
        <f t="shared" si="21"/>
        <v>19.8772146953956+60.2097157442591i</v>
      </c>
      <c r="AX124" s="87" t="str">
        <f t="shared" si="22"/>
        <v>17.904143987656+5.90283039420489i</v>
      </c>
      <c r="AY124" s="87" t="str">
        <f t="shared" si="23"/>
        <v>17.904243987656+4.36702394259198i</v>
      </c>
      <c r="AZ124" s="87">
        <f t="shared" si="24"/>
        <v>24.799999999999944</v>
      </c>
      <c r="BA124" s="87">
        <f t="shared" si="25"/>
        <v>18.429130497250476</v>
      </c>
    </row>
    <row r="125" spans="2:70" ht="18" x14ac:dyDescent="0.35">
      <c r="B125" s="4" t="s">
        <v>41</v>
      </c>
      <c r="C125" t="s">
        <v>17</v>
      </c>
      <c r="AO125" s="87">
        <f t="shared" si="53"/>
        <v>24.999999999999943</v>
      </c>
      <c r="AP125" s="126" t="str">
        <f t="shared" si="16"/>
        <v>0.0001-1.52352i</v>
      </c>
      <c r="AQ125" s="105" t="str">
        <f t="shared" si="17"/>
        <v>0.000001-0.0972704364834625i</v>
      </c>
      <c r="AR125" s="105" t="str">
        <f t="shared" si="18"/>
        <v>0.0243176091208656+60.7940228021638i</v>
      </c>
      <c r="AS125" s="93" t="str">
        <f t="shared" si="55"/>
        <v>19.8528960862747+0.0001i</v>
      </c>
      <c r="AT125" s="87"/>
      <c r="AU125" s="87" t="str">
        <f t="shared" si="19"/>
        <v>0.0243186091208656+60.6967523656803i</v>
      </c>
      <c r="AV125" s="87" t="str">
        <f t="shared" si="20"/>
        <v>0.476725144602709+1205.00631992206i</v>
      </c>
      <c r="AW125" s="87" t="str">
        <f t="shared" si="21"/>
        <v>19.8772146953956+60.6968523656803i</v>
      </c>
      <c r="AX125" s="87" t="str">
        <f t="shared" si="22"/>
        <v>17.9322807240737+5.86467098229939i</v>
      </c>
      <c r="AY125" s="87" t="str">
        <f t="shared" si="23"/>
        <v>17.9323807240737+4.34115098229939i</v>
      </c>
      <c r="AZ125" s="87">
        <f t="shared" si="24"/>
        <v>24.999999999999943</v>
      </c>
      <c r="BA125" s="87">
        <f t="shared" si="25"/>
        <v>18.450362334768631</v>
      </c>
    </row>
    <row r="126" spans="2:70" ht="18" x14ac:dyDescent="0.35">
      <c r="B126" s="4" t="s">
        <v>42</v>
      </c>
      <c r="C126" t="s">
        <v>19</v>
      </c>
      <c r="AO126" s="87">
        <f t="shared" si="53"/>
        <v>25.199999999999942</v>
      </c>
      <c r="AP126" s="126" t="str">
        <f t="shared" si="16"/>
        <v>0.0001-1.51142857142858i</v>
      </c>
      <c r="AQ126" s="105" t="str">
        <f t="shared" si="17"/>
        <v>0.000001-0.0964984488923239i</v>
      </c>
      <c r="AR126" s="105" t="str">
        <f t="shared" si="18"/>
        <v>0.0243176091208656+61.2803749845811i</v>
      </c>
      <c r="AS126" s="93" t="str">
        <f t="shared" si="55"/>
        <v>19.8528960862747+0.0001i</v>
      </c>
      <c r="AT126" s="87"/>
      <c r="AU126" s="87" t="str">
        <f t="shared" si="19"/>
        <v>0.0243186091208656+61.1838765356888i</v>
      </c>
      <c r="AV126" s="87" t="str">
        <f t="shared" si="20"/>
        <v>0.476676432185708+1214.67714545035i</v>
      </c>
      <c r="AW126" s="87" t="str">
        <f t="shared" si="21"/>
        <v>19.8772146953956+61.1839765356888i</v>
      </c>
      <c r="AX126" s="87" t="str">
        <f t="shared" si="22"/>
        <v>17.9598329364297+5.82693049593972i</v>
      </c>
      <c r="AY126" s="87" t="str">
        <f t="shared" si="23"/>
        <v>17.9599329364297+4.31550192451114i</v>
      </c>
      <c r="AZ126" s="87">
        <f t="shared" si="24"/>
        <v>25.199999999999942</v>
      </c>
      <c r="BA126" s="87">
        <f t="shared" si="25"/>
        <v>18.471132827780529</v>
      </c>
    </row>
    <row r="127" spans="2:70" ht="18" x14ac:dyDescent="0.35">
      <c r="B127" s="4" t="s">
        <v>43</v>
      </c>
      <c r="C127" t="s">
        <v>22</v>
      </c>
      <c r="AO127" s="87">
        <f t="shared" si="53"/>
        <v>25.399999999999942</v>
      </c>
      <c r="AP127" s="126" t="str">
        <f t="shared" si="16"/>
        <v>0.0001-1.49952755905512i</v>
      </c>
      <c r="AQ127" s="105" t="str">
        <f t="shared" si="17"/>
        <v>0.000001-0.0957386185860852i</v>
      </c>
      <c r="AR127" s="105" t="str">
        <f t="shared" si="18"/>
        <v>0.0243176091208656+61.7667271669984i</v>
      </c>
      <c r="AS127" s="93" t="str">
        <f t="shared" si="55"/>
        <v>19.8528960862747+0.0001i</v>
      </c>
      <c r="AT127" s="87"/>
      <c r="AU127" s="87" t="str">
        <f t="shared" si="19"/>
        <v>0.0243186091208656+61.6709885484123i</v>
      </c>
      <c r="AV127" s="87" t="str">
        <f t="shared" si="20"/>
        <v>0.476627720984436+1224.34772962133i</v>
      </c>
      <c r="AW127" s="87" t="str">
        <f t="shared" si="21"/>
        <v>19.8772146953956+61.6710885484123i</v>
      </c>
      <c r="AX127" s="87" t="str">
        <f t="shared" si="22"/>
        <v>17.9868161086301+5.78960394831637i</v>
      </c>
      <c r="AY127" s="87" t="str">
        <f t="shared" si="23"/>
        <v>17.9869161086301+4.29007638926125i</v>
      </c>
      <c r="AZ127" s="87">
        <f t="shared" si="24"/>
        <v>25.399999999999942</v>
      </c>
      <c r="BA127" s="87">
        <f t="shared" si="25"/>
        <v>18.491454959645385</v>
      </c>
    </row>
    <row r="128" spans="2:70" ht="18" x14ac:dyDescent="0.35">
      <c r="B128" s="4" t="s">
        <v>77</v>
      </c>
      <c r="C128" t="s">
        <v>78</v>
      </c>
      <c r="AO128" s="87">
        <f t="shared" si="53"/>
        <v>25.599999999999941</v>
      </c>
      <c r="AP128" s="126" t="str">
        <f t="shared" si="16"/>
        <v>0.0001-1.4878125i</v>
      </c>
      <c r="AQ128" s="105" t="str">
        <f t="shared" si="17"/>
        <v>0.000001-0.0949906606283814i</v>
      </c>
      <c r="AR128" s="105" t="str">
        <f t="shared" si="18"/>
        <v>0.0243176091208656+62.2530793494157i</v>
      </c>
      <c r="AS128" s="93" t="str">
        <f t="shared" si="55"/>
        <v>19.8528960862747+0.0001i</v>
      </c>
      <c r="AT128" s="87"/>
      <c r="AU128" s="87" t="str">
        <f t="shared" si="19"/>
        <v>0.0243186091208656+62.1580886887873i</v>
      </c>
      <c r="AV128" s="87" t="str">
        <f t="shared" si="20"/>
        <v>0.476579010970398+1234.0180780918i</v>
      </c>
      <c r="AW128" s="87" t="str">
        <f t="shared" si="21"/>
        <v>19.8772146953956+62.1581886887873i</v>
      </c>
      <c r="AX128" s="87" t="str">
        <f t="shared" si="22"/>
        <v>18.0132452369709+5.75268635505809i</v>
      </c>
      <c r="AY128" s="87" t="str">
        <f t="shared" si="23"/>
        <v>18.0133452369709+4.26487385505809i</v>
      </c>
      <c r="AZ128" s="87">
        <f t="shared" si="24"/>
        <v>25.599999999999941</v>
      </c>
      <c r="BA128" s="87">
        <f t="shared" si="25"/>
        <v>18.511341270309405</v>
      </c>
    </row>
    <row r="129" spans="2:53" ht="18" x14ac:dyDescent="0.35">
      <c r="B129" s="4" t="s">
        <v>35</v>
      </c>
      <c r="C129" t="s">
        <v>24</v>
      </c>
      <c r="AO129" s="87">
        <f t="shared" si="53"/>
        <v>25.79999999999994</v>
      </c>
      <c r="AP129" s="126" t="str">
        <f t="shared" si="16"/>
        <v>0.0001-1.47627906976745i</v>
      </c>
      <c r="AQ129" s="105" t="str">
        <f t="shared" si="17"/>
        <v>0.000001-0.0942542989180838i</v>
      </c>
      <c r="AR129" s="105" t="str">
        <f t="shared" si="18"/>
        <v>0.0243176091208656+62.739431531833i</v>
      </c>
      <c r="AS129" s="93" t="str">
        <f t="shared" si="55"/>
        <v>19.8528960862747+0.0001i</v>
      </c>
      <c r="AT129" s="87"/>
      <c r="AU129" s="87" t="str">
        <f t="shared" si="19"/>
        <v>0.0243186091208656+62.6451772329149i</v>
      </c>
      <c r="AV129" s="87" t="str">
        <f t="shared" si="20"/>
        <v>0.476530302115985+1243.68819634318i</v>
      </c>
      <c r="AW129" s="87" t="str">
        <f t="shared" si="21"/>
        <v>19.8772146953956+62.6452772329149i</v>
      </c>
      <c r="AX129" s="87" t="str">
        <f t="shared" si="22"/>
        <v>18.039134847492+5.71617273955533i</v>
      </c>
      <c r="AY129" s="87" t="str">
        <f t="shared" si="23"/>
        <v>18.039234847492+4.23989366978788i</v>
      </c>
      <c r="AZ129" s="87">
        <f t="shared" si="24"/>
        <v>25.79999999999994</v>
      </c>
      <c r="BA129" s="87">
        <f t="shared" si="25"/>
        <v>18.530803873930484</v>
      </c>
    </row>
    <row r="130" spans="2:53" x14ac:dyDescent="0.25">
      <c r="B130" s="4" t="s">
        <v>48</v>
      </c>
      <c r="C130" t="s">
        <v>49</v>
      </c>
      <c r="AO130" s="87">
        <f t="shared" si="53"/>
        <v>25.99999999999994</v>
      </c>
      <c r="AP130" s="126" t="str">
        <f t="shared" si="16"/>
        <v>0.0001-1.46492307692308i</v>
      </c>
      <c r="AQ130" s="105" t="str">
        <f t="shared" si="17"/>
        <v>0.000001-0.0935292658494832i</v>
      </c>
      <c r="AR130" s="105" t="str">
        <f t="shared" si="18"/>
        <v>0.0243176091208656+63.2257837142503i</v>
      </c>
      <c r="AS130" s="93" t="str">
        <f t="shared" si="55"/>
        <v>19.8528960862747+0.0001i</v>
      </c>
      <c r="AT130" s="87"/>
      <c r="AU130" s="87" t="str">
        <f t="shared" si="19"/>
        <v>0.0243186091208656+63.1322544484008i</v>
      </c>
      <c r="AV130" s="87" t="str">
        <f t="shared" si="20"/>
        <v>0.476481594394437+1253.35808968822i</v>
      </c>
      <c r="AW130" s="87" t="str">
        <f t="shared" si="21"/>
        <v>19.8772146953956+63.1323544484008i</v>
      </c>
      <c r="AX130" s="87" t="str">
        <f t="shared" si="22"/>
        <v>18.064499012663+5.68005813783099i</v>
      </c>
      <c r="AY130" s="87" t="str">
        <f t="shared" si="23"/>
        <v>18.064599012663+4.21513506090791i</v>
      </c>
      <c r="AZ130" s="87">
        <f t="shared" si="24"/>
        <v>25.99999999999994</v>
      </c>
      <c r="BA130" s="87">
        <f t="shared" si="25"/>
        <v>18.549854475709509</v>
      </c>
    </row>
    <row r="131" spans="2:53" ht="18" x14ac:dyDescent="0.35">
      <c r="B131" s="4" t="s">
        <v>50</v>
      </c>
      <c r="C131" t="s">
        <v>51</v>
      </c>
      <c r="AO131" s="87">
        <f t="shared" si="53"/>
        <v>26.199999999999939</v>
      </c>
      <c r="AP131" s="126" t="str">
        <f t="shared" si="16"/>
        <v>0.0001-1.45374045801527i</v>
      </c>
      <c r="AQ131" s="105" t="str">
        <f t="shared" si="17"/>
        <v>0.000001-0.0928153019880368i</v>
      </c>
      <c r="AR131" s="105" t="str">
        <f t="shared" si="18"/>
        <v>0.0243176091208656+63.7121358966677i</v>
      </c>
      <c r="AS131" s="93" t="str">
        <f t="shared" ref="AS131:AS162" si="58">COMPLEX($D$17,0.0001)</f>
        <v>19.8528960862747+0.0001i</v>
      </c>
      <c r="AT131" s="87"/>
      <c r="AU131" s="87" t="str">
        <f t="shared" si="19"/>
        <v>0.0243186091208656+63.6193205946797i</v>
      </c>
      <c r="AV131" s="87" t="str">
        <f t="shared" si="20"/>
        <v>0.476432887779809+1263.02776327743i</v>
      </c>
      <c r="AW131" s="87" t="str">
        <f t="shared" si="21"/>
        <v>19.8772146953956+63.6194205946797i</v>
      </c>
      <c r="AX131" s="87" t="str">
        <f t="shared" si="22"/>
        <v>18.08935136743+5.64433760299138i</v>
      </c>
      <c r="AY131" s="87" t="str">
        <f t="shared" si="23"/>
        <v>18.08945136743+4.19059714497611i</v>
      </c>
      <c r="AZ131" s="87">
        <f t="shared" si="24"/>
        <v>26.199999999999939</v>
      </c>
      <c r="BA131" s="87">
        <f t="shared" si="25"/>
        <v>18.568504387970968</v>
      </c>
    </row>
    <row r="132" spans="2:53" ht="18" x14ac:dyDescent="0.35">
      <c r="B132" s="4" t="s">
        <v>52</v>
      </c>
      <c r="C132" t="s">
        <v>55</v>
      </c>
      <c r="AO132" s="87">
        <f t="shared" si="53"/>
        <v>26.399999999999938</v>
      </c>
      <c r="AP132" s="126" t="str">
        <f t="shared" si="16"/>
        <v>0.0001-1.44272727272728i</v>
      </c>
      <c r="AQ132" s="105" t="str">
        <f t="shared" si="17"/>
        <v>0.000001-0.0921121557608547i</v>
      </c>
      <c r="AR132" s="105" t="str">
        <f t="shared" si="18"/>
        <v>0.0243176091208656+64.198488079085i</v>
      </c>
      <c r="AS132" s="93" t="str">
        <f t="shared" si="58"/>
        <v>19.8528960862747+0.0001i</v>
      </c>
      <c r="AT132" s="87"/>
      <c r="AU132" s="87" t="str">
        <f t="shared" si="19"/>
        <v>0.0243186091208656+64.1063759233241i</v>
      </c>
      <c r="AV132" s="87" t="str">
        <f t="shared" si="20"/>
        <v>0.476384182246945+1272.69722210528i</v>
      </c>
      <c r="AW132" s="87" t="str">
        <f t="shared" si="21"/>
        <v>19.8772146953956+64.1064759233241i</v>
      </c>
      <c r="AX132" s="87" t="str">
        <f t="shared" si="22"/>
        <v>18.1137051246484+5.60900620928768i</v>
      </c>
      <c r="AY132" s="87" t="str">
        <f t="shared" si="23"/>
        <v>18.1138051246484+4.1662789365604i</v>
      </c>
      <c r="AZ132" s="87">
        <f t="shared" si="24"/>
        <v>26.399999999999938</v>
      </c>
      <c r="BA132" s="87">
        <f t="shared" si="25"/>
        <v>18.586764545529853</v>
      </c>
    </row>
    <row r="133" spans="2:53" ht="18" x14ac:dyDescent="0.35">
      <c r="B133" s="4" t="s">
        <v>54</v>
      </c>
      <c r="C133" t="s">
        <v>56</v>
      </c>
      <c r="AO133" s="87">
        <f t="shared" si="53"/>
        <v>26.599999999999937</v>
      </c>
      <c r="AP133" s="126" t="str">
        <f t="shared" si="16"/>
        <v>0.0001-1.43187969924812i</v>
      </c>
      <c r="AQ133" s="105" t="str">
        <f t="shared" si="17"/>
        <v>0.000001-0.091419583161149i</v>
      </c>
      <c r="AR133" s="105" t="str">
        <f t="shared" si="18"/>
        <v>0.0243176091208656+64.6848402615023i</v>
      </c>
      <c r="AS133" s="93" t="str">
        <f t="shared" si="58"/>
        <v>19.8528960862747+0.0001i</v>
      </c>
      <c r="AT133" s="87"/>
      <c r="AU133" s="87" t="str">
        <f t="shared" si="19"/>
        <v>0.0243186091208656+64.5934206783411i</v>
      </c>
      <c r="AV133" s="87" t="str">
        <f t="shared" si="20"/>
        <v>0.476335477771443+1282.36647101599i</v>
      </c>
      <c r="AW133" s="87" t="str">
        <f t="shared" si="21"/>
        <v>19.8772146953956+64.5935206783411i</v>
      </c>
      <c r="AX133" s="87" t="str">
        <f t="shared" si="22"/>
        <v>18.1375730899214+5.57405905581414i</v>
      </c>
      <c r="AY133" s="87" t="str">
        <f t="shared" si="23"/>
        <v>18.1376730899214+4.14217935656602i</v>
      </c>
      <c r="AZ133" s="87">
        <f t="shared" si="24"/>
        <v>26.599999999999937</v>
      </c>
      <c r="BA133" s="87">
        <f t="shared" si="25"/>
        <v>18.604645520375296</v>
      </c>
    </row>
    <row r="134" spans="2:53" x14ac:dyDescent="0.25">
      <c r="B134" s="10" t="s">
        <v>70</v>
      </c>
      <c r="C134" s="10" t="s">
        <v>71</v>
      </c>
      <c r="D134" s="10"/>
      <c r="E134" s="10"/>
      <c r="F134" s="10"/>
      <c r="G134" s="10"/>
      <c r="H134" s="10"/>
      <c r="I134" s="10"/>
      <c r="J134" s="10"/>
      <c r="K134" s="10"/>
      <c r="L134" s="10"/>
      <c r="AO134" s="87">
        <f t="shared" si="53"/>
        <v>26.799999999999937</v>
      </c>
      <c r="AP134" s="126" t="str">
        <f t="shared" ref="AP134:AP197" si="59">COMPLEX(0.0001,-1*$D$22/AO134)</f>
        <v>0.0001-1.42119402985075i</v>
      </c>
      <c r="AQ134" s="105" t="str">
        <f t="shared" ref="AQ134:AQ197" si="60">COMPLEX(0.000001,-1*$D$23/AO134)</f>
        <v>0.000001-0.0907373474659165i</v>
      </c>
      <c r="AR134" s="105" t="str">
        <f t="shared" ref="AR134:AR197" si="61">COMPLEX($D$24/$D$26,$D$24*AO134)</f>
        <v>0.0243176091208656+65.1711924439196i</v>
      </c>
      <c r="AS134" s="93" t="str">
        <f t="shared" si="58"/>
        <v>19.8528960862747+0.0001i</v>
      </c>
      <c r="AT134" s="87"/>
      <c r="AU134" s="87" t="str">
        <f t="shared" ref="AU134:AU197" si="62">IMSUM(AR134,AQ134)</f>
        <v>0.0243186091208656+65.0804550964537i</v>
      </c>
      <c r="AV134" s="87" t="str">
        <f t="shared" ref="AV134:AV197" si="63">IMPRODUCT(AU134,AS134)</f>
        <v>0.476286774329632+1292.03551470922i</v>
      </c>
      <c r="AW134" s="87" t="str">
        <f t="shared" ref="AW134:AW197" si="64">IMSUM(AS134,AU134)</f>
        <v>19.8772146953956+65.0805550964537i</v>
      </c>
      <c r="AX134" s="87" t="str">
        <f t="shared" ref="AX134:AX197" si="65">IMDIV(AV134,AW134)</f>
        <v>18.1609676758753+5.53949126987131i</v>
      </c>
      <c r="AY134" s="87" t="str">
        <f t="shared" ref="AY134:AY197" si="66">IMSUM(AX134,AP134)</f>
        <v>18.1610676758753+4.11829724002056i</v>
      </c>
      <c r="AZ134" s="87">
        <f t="shared" ref="AZ134:AZ197" si="67">AO134</f>
        <v>26.799999999999937</v>
      </c>
      <c r="BA134" s="87">
        <f t="shared" ref="BA134:BA197" si="68">IMABS(AY134)</f>
        <v>18.622157535712226</v>
      </c>
    </row>
    <row r="135" spans="2:53" x14ac:dyDescent="0.25">
      <c r="B135" s="1" t="s">
        <v>44</v>
      </c>
      <c r="AO135" s="87">
        <f t="shared" si="53"/>
        <v>26.999999999999936</v>
      </c>
      <c r="AP135" s="126" t="str">
        <f t="shared" si="59"/>
        <v>0.0001-1.41066666666667i</v>
      </c>
      <c r="AQ135" s="105" t="str">
        <f t="shared" si="60"/>
        <v>0.000001-0.090065218966169i</v>
      </c>
      <c r="AR135" s="105" t="str">
        <f t="shared" si="61"/>
        <v>0.0243176091208656+65.6575446263369i</v>
      </c>
      <c r="AS135" s="93" t="str">
        <f t="shared" si="58"/>
        <v>19.8528960862747+0.0001i</v>
      </c>
      <c r="AT135" s="87"/>
      <c r="AU135" s="87" t="str">
        <f t="shared" si="62"/>
        <v>0.0243186091208656+65.5674794073707i</v>
      </c>
      <c r="AV135" s="87" t="str">
        <f t="shared" si="63"/>
        <v>0.47623807189854+1301.70435774535i</v>
      </c>
      <c r="AW135" s="87" t="str">
        <f t="shared" si="64"/>
        <v>19.8772146953956+65.5675794073707i</v>
      </c>
      <c r="AX135" s="87" t="str">
        <f t="shared" si="65"/>
        <v>18.1839009158861+5.50529801001611i</v>
      </c>
      <c r="AY135" s="87" t="str">
        <f t="shared" si="66"/>
        <v>18.1840009158861+4.09463134334944i</v>
      </c>
      <c r="AZ135" s="87">
        <f t="shared" si="67"/>
        <v>26.999999999999936</v>
      </c>
      <c r="BA135" s="87">
        <f t="shared" si="68"/>
        <v>18.639310479384321</v>
      </c>
    </row>
    <row r="136" spans="2:53" x14ac:dyDescent="0.25">
      <c r="AO136" s="87">
        <f t="shared" si="53"/>
        <v>27.199999999999935</v>
      </c>
      <c r="AP136" s="126" t="str">
        <f t="shared" si="59"/>
        <v>0.0001-1.40029411764706i</v>
      </c>
      <c r="AQ136" s="105" t="str">
        <f t="shared" si="60"/>
        <v>0.000001-0.0894029747090648i</v>
      </c>
      <c r="AR136" s="105" t="str">
        <f t="shared" si="61"/>
        <v>0.0243176091208656+66.1438968087542i</v>
      </c>
      <c r="AS136" s="93" t="str">
        <f t="shared" si="58"/>
        <v>19.8528960862747+0.0001i</v>
      </c>
      <c r="AT136" s="87"/>
      <c r="AU136" s="87" t="str">
        <f t="shared" si="62"/>
        <v>0.0243186091208656+66.0544938340451i</v>
      </c>
      <c r="AV136" s="87" t="str">
        <f t="shared" si="63"/>
        <v>0.476189370455872+1311.37300455063i</v>
      </c>
      <c r="AW136" s="87" t="str">
        <f t="shared" si="64"/>
        <v>19.8772146953956+66.0545938340451i</v>
      </c>
      <c r="AX136" s="87" t="str">
        <f t="shared" si="65"/>
        <v>18.2063844772841+5.4714744688228i</v>
      </c>
      <c r="AY136" s="87" t="str">
        <f t="shared" si="66"/>
        <v>18.2064844772841+4.07118035117574i</v>
      </c>
      <c r="AZ136" s="87">
        <f t="shared" si="67"/>
        <v>27.199999999999935</v>
      </c>
      <c r="BA136" s="87">
        <f t="shared" si="68"/>
        <v>18.65611391671337</v>
      </c>
    </row>
    <row r="137" spans="2:53" s="87" customFormat="1" ht="34.5" customHeight="1" x14ac:dyDescent="0.25">
      <c r="B137" s="109"/>
      <c r="C137" s="101"/>
      <c r="D137" s="108"/>
      <c r="E137" s="101"/>
      <c r="AO137" s="87">
        <f t="shared" si="53"/>
        <v>27.399999999999935</v>
      </c>
      <c r="AP137" s="126" t="str">
        <f t="shared" si="59"/>
        <v>0.0001-1.39007299270073i</v>
      </c>
      <c r="AQ137" s="105" t="str">
        <f t="shared" si="60"/>
        <v>0.000001-0.0887503982513344i</v>
      </c>
      <c r="AR137" s="105" t="str">
        <f t="shared" si="61"/>
        <v>0.0243176091208656+66.6302489911715i</v>
      </c>
      <c r="AS137" s="93" t="str">
        <f t="shared" si="58"/>
        <v>19.8528960862747+0.0001i</v>
      </c>
      <c r="AU137" s="87" t="str">
        <f t="shared" si="62"/>
        <v>0.0243186091208656+66.5414985929202i</v>
      </c>
      <c r="AV137" s="87" t="str">
        <f t="shared" si="63"/>
        <v>0.476140669979985+1321.0414594221i</v>
      </c>
      <c r="AW137" s="87" t="str">
        <f t="shared" si="64"/>
        <v>19.8772146953956+66.5415985929202i</v>
      </c>
      <c r="AX137" s="87" t="str">
        <f t="shared" si="65"/>
        <v>18.2284296740558+5.43801587537525i</v>
      </c>
      <c r="AY137" s="87" t="str">
        <f t="shared" si="66"/>
        <v>18.2285296740558+4.04794288267452i</v>
      </c>
      <c r="AZ137" s="87">
        <f t="shared" si="67"/>
        <v>27.399999999999935</v>
      </c>
      <c r="BA137" s="87">
        <f t="shared" si="68"/>
        <v>18.67257710278172</v>
      </c>
    </row>
    <row r="138" spans="2:53" s="87" customFormat="1" ht="36" customHeight="1" x14ac:dyDescent="0.55000000000000004">
      <c r="B138" s="118" t="s">
        <v>45</v>
      </c>
      <c r="C138" s="119"/>
      <c r="D138" s="119"/>
      <c r="E138" s="119"/>
      <c r="F138" s="119"/>
      <c r="G138" s="119"/>
      <c r="H138" s="119"/>
      <c r="I138" s="119"/>
      <c r="J138" s="119"/>
      <c r="K138" s="119"/>
      <c r="L138" s="119"/>
      <c r="AO138" s="87">
        <f t="shared" si="53"/>
        <v>27.599999999999934</v>
      </c>
      <c r="AP138" s="126" t="str">
        <f t="shared" si="59"/>
        <v>0.0001-1.38i</v>
      </c>
      <c r="AQ138" s="105" t="str">
        <f t="shared" si="60"/>
        <v>0.000001-0.0881072794234262i</v>
      </c>
      <c r="AR138" s="105" t="str">
        <f t="shared" si="61"/>
        <v>0.0243176091208656+67.1166011735888i</v>
      </c>
      <c r="AS138" s="93" t="str">
        <f t="shared" si="58"/>
        <v>19.8528960862747+0.0001i</v>
      </c>
      <c r="AU138" s="87" t="str">
        <f t="shared" si="62"/>
        <v>0.0243186091208656+67.0284938941654i</v>
      </c>
      <c r="AV138" s="87" t="str">
        <f t="shared" si="63"/>
        <v>0.47609197044986+1330.70972653222i</v>
      </c>
      <c r="AW138" s="87" t="str">
        <f t="shared" si="64"/>
        <v>19.8772146953956+67.0285938941654i</v>
      </c>
      <c r="AX138" s="87" t="str">
        <f t="shared" si="65"/>
        <v>18.2500474790626+5.4049174975096i</v>
      </c>
      <c r="AY138" s="87" t="str">
        <f t="shared" si="66"/>
        <v>18.2501474790626+4.0249174975096i</v>
      </c>
      <c r="AZ138" s="87">
        <f t="shared" si="67"/>
        <v>27.599999999999934</v>
      </c>
      <c r="BA138" s="87">
        <f t="shared" si="68"/>
        <v>18.688708994183997</v>
      </c>
    </row>
    <row r="139" spans="2:53" s="87" customFormat="1" ht="19.5" customHeight="1" x14ac:dyDescent="0.4">
      <c r="B139" s="175" t="str">
        <f>"C High-Pass Filter Design - Stage/Branch: "&amp;$I$9&amp;", Tuning Point: "&amp;FIXED($D$10,2)&amp;", Reference: "&amp;$I$8</f>
        <v>C High-Pass Filter Design - Stage/Branch: Branch/Stage #, Tuning Point: 4.08, Reference: Enter Job Name</v>
      </c>
      <c r="C139" s="120"/>
      <c r="D139" s="120"/>
      <c r="E139" s="120"/>
      <c r="F139" s="120"/>
      <c r="G139" s="174"/>
      <c r="H139" s="174"/>
      <c r="I139" s="174"/>
      <c r="J139" s="174"/>
      <c r="K139" s="174"/>
      <c r="L139" s="137" t="s">
        <v>185</v>
      </c>
      <c r="AO139" s="87">
        <f t="shared" si="53"/>
        <v>27.799999999999933</v>
      </c>
      <c r="AP139" s="126" t="str">
        <f t="shared" si="59"/>
        <v>0.0001-1.37007194244605i</v>
      </c>
      <c r="AQ139" s="105" t="str">
        <f t="shared" si="60"/>
        <v>0.000001-0.0874734141038332i</v>
      </c>
      <c r="AR139" s="105" t="str">
        <f t="shared" si="61"/>
        <v>0.0243176091208656+67.6029533560061i</v>
      </c>
      <c r="AS139" s="93" t="str">
        <f t="shared" si="58"/>
        <v>19.8528960862747+0.0001i</v>
      </c>
      <c r="AU139" s="87" t="str">
        <f t="shared" si="62"/>
        <v>0.0243186091208656+67.5154799419023i</v>
      </c>
      <c r="AV139" s="87" t="str">
        <f t="shared" si="63"/>
        <v>0.476043271845087+1340.37780993341i</v>
      </c>
      <c r="AW139" s="87" t="str">
        <f t="shared" si="64"/>
        <v>19.8772146953956+67.5155799419023i</v>
      </c>
      <c r="AX139" s="87" t="str">
        <f t="shared" si="65"/>
        <v>18.2712485357962+5.37217464382621i</v>
      </c>
      <c r="AY139" s="87" t="str">
        <f t="shared" si="66"/>
        <v>18.2713485357962+4.00210270138016i</v>
      </c>
      <c r="AZ139" s="87">
        <f t="shared" si="67"/>
        <v>27.799999999999933</v>
      </c>
      <c r="BA139" s="87">
        <f t="shared" si="68"/>
        <v>18.704518260274341</v>
      </c>
    </row>
    <row r="140" spans="2:53" x14ac:dyDescent="0.25">
      <c r="AO140" s="87">
        <f t="shared" si="53"/>
        <v>27.999999999999932</v>
      </c>
      <c r="AP140" s="126" t="str">
        <f t="shared" si="59"/>
        <v>0.0001-1.36028571428572i</v>
      </c>
      <c r="AQ140" s="105" t="str">
        <f t="shared" si="60"/>
        <v>0.000001-0.0868486040030916i</v>
      </c>
      <c r="AR140" s="105" t="str">
        <f t="shared" si="61"/>
        <v>0.0243176091208656+68.0893055384234i</v>
      </c>
      <c r="AS140" s="93" t="str">
        <f t="shared" si="58"/>
        <v>19.8528960862747+0.0001i</v>
      </c>
      <c r="AT140" s="87"/>
      <c r="AU140" s="87" t="str">
        <f t="shared" si="62"/>
        <v>0.0243186091208656+68.0024569344203i</v>
      </c>
      <c r="AV140" s="87" t="str">
        <f t="shared" si="63"/>
        <v>0.475994574145835+1350.04571356228i</v>
      </c>
      <c r="AW140" s="87" t="str">
        <f t="shared" si="64"/>
        <v>19.8772146953956+68.0025569344203i</v>
      </c>
      <c r="AX140" s="87" t="str">
        <f t="shared" si="65"/>
        <v>18.2920431696889+5.33978266548693i</v>
      </c>
      <c r="AY140" s="87" t="str">
        <f t="shared" si="66"/>
        <v>18.2921431696889+3.97949695120121i</v>
      </c>
      <c r="AZ140" s="87">
        <f t="shared" si="67"/>
        <v>27.999999999999932</v>
      </c>
      <c r="BA140" s="87">
        <f t="shared" si="68"/>
        <v>18.720013293932674</v>
      </c>
    </row>
    <row r="141" spans="2:53" x14ac:dyDescent="0.25">
      <c r="AO141" s="87">
        <f t="shared" si="53"/>
        <v>28.199999999999932</v>
      </c>
      <c r="AP141" s="126" t="str">
        <f t="shared" si="59"/>
        <v>0.0001-1.35063829787234i</v>
      </c>
      <c r="AQ141" s="105" t="str">
        <f t="shared" si="60"/>
        <v>0.000001-0.0862326564569703i</v>
      </c>
      <c r="AR141" s="105" t="str">
        <f t="shared" si="61"/>
        <v>0.0243176091208656+68.5756577208408i</v>
      </c>
      <c r="AS141" s="93" t="str">
        <f t="shared" si="58"/>
        <v>19.8528960862747+0.0001i</v>
      </c>
      <c r="AT141" s="87"/>
      <c r="AU141" s="87" t="str">
        <f t="shared" si="62"/>
        <v>0.0243186091208656+68.4894250643838i</v>
      </c>
      <c r="AV141" s="87" t="str">
        <f t="shared" si="63"/>
        <v>0.475945877332839+1359.71344124377i</v>
      </c>
      <c r="AW141" s="87" t="str">
        <f t="shared" si="64"/>
        <v>19.8772146953956+68.4895250643838i</v>
      </c>
      <c r="AX141" s="87" t="str">
        <f t="shared" si="65"/>
        <v>18.3124413989962+5.30773695781412i</v>
      </c>
      <c r="AY141" s="87" t="str">
        <f t="shared" si="66"/>
        <v>18.3125413989962+3.95709865994178i</v>
      </c>
      <c r="AZ141" s="87">
        <f t="shared" si="67"/>
        <v>28.199999999999932</v>
      </c>
      <c r="BA141" s="87">
        <f t="shared" si="68"/>
        <v>18.735202221872669</v>
      </c>
    </row>
    <row r="142" spans="2:53" x14ac:dyDescent="0.25">
      <c r="AO142" s="87">
        <f t="shared" si="53"/>
        <v>28.399999999999931</v>
      </c>
      <c r="AP142" s="126" t="str">
        <f t="shared" si="59"/>
        <v>0.0001-1.34112676056338i</v>
      </c>
      <c r="AQ142" s="105" t="str">
        <f t="shared" si="60"/>
        <v>0.000001-0.0856253842284001i</v>
      </c>
      <c r="AR142" s="105" t="str">
        <f t="shared" si="61"/>
        <v>0.0243176091208656+69.0620099032581i</v>
      </c>
      <c r="AS142" s="93" t="str">
        <f t="shared" si="58"/>
        <v>19.8528960862747+0.0001i</v>
      </c>
      <c r="AT142" s="87"/>
      <c r="AU142" s="87" t="str">
        <f t="shared" si="62"/>
        <v>0.0243186091208656+68.9763845190297i</v>
      </c>
      <c r="AV142" s="87" t="str">
        <f t="shared" si="63"/>
        <v>0.475897181387374+1369.38099669508i</v>
      </c>
      <c r="AW142" s="87" t="str">
        <f t="shared" si="64"/>
        <v>19.8772146953956+68.9764845190297i</v>
      </c>
      <c r="AX142" s="87" t="str">
        <f t="shared" si="65"/>
        <v>18.3324529452702+5.27603296170574i</v>
      </c>
      <c r="AY142" s="87" t="str">
        <f t="shared" si="66"/>
        <v>18.3325529452702+3.93490620114236i</v>
      </c>
      <c r="AZ142" s="87">
        <f t="shared" si="67"/>
        <v>28.399999999999931</v>
      </c>
      <c r="BA142" s="87">
        <f t="shared" si="68"/>
        <v>18.750092914514418</v>
      </c>
    </row>
    <row r="143" spans="2:53" x14ac:dyDescent="0.25">
      <c r="AO143" s="87">
        <f t="shared" si="53"/>
        <v>28.59999999999993</v>
      </c>
      <c r="AP143" s="126" t="str">
        <f t="shared" si="59"/>
        <v>0.0001-1.33174825174826i</v>
      </c>
      <c r="AQ143" s="105" t="str">
        <f t="shared" si="60"/>
        <v>0.000001-0.085026605317712i</v>
      </c>
      <c r="AR143" s="105" t="str">
        <f t="shared" si="61"/>
        <v>0.0243176091208656+69.5483620856754i</v>
      </c>
      <c r="AS143" s="93" t="str">
        <f t="shared" si="58"/>
        <v>19.8528960862747+0.0001i</v>
      </c>
      <c r="AT143" s="87"/>
      <c r="AU143" s="87" t="str">
        <f t="shared" si="62"/>
        <v>0.0243186091208656+69.4633354803577i</v>
      </c>
      <c r="AV143" s="87" t="str">
        <f t="shared" si="63"/>
        <v>0.475848486291241+1379.04838352944i</v>
      </c>
      <c r="AW143" s="87" t="str">
        <f t="shared" si="64"/>
        <v>19.8772146953956+69.4634354803577i</v>
      </c>
      <c r="AX143" s="87" t="str">
        <f t="shared" si="65"/>
        <v>18.3520872434379+5.24466616487997i</v>
      </c>
      <c r="AY143" s="87" t="str">
        <f t="shared" si="66"/>
        <v>18.3521872434379+3.91291791313171i</v>
      </c>
      <c r="AZ143" s="87">
        <f t="shared" si="67"/>
        <v>28.59999999999993</v>
      </c>
      <c r="BA143" s="87">
        <f t="shared" si="68"/>
        <v>18.764692995439916</v>
      </c>
    </row>
    <row r="144" spans="2:53" x14ac:dyDescent="0.25">
      <c r="AO144" s="87">
        <f t="shared" si="53"/>
        <v>28.79999999999993</v>
      </c>
      <c r="AP144" s="126" t="str">
        <f t="shared" si="59"/>
        <v>0.0001-1.3225i</v>
      </c>
      <c r="AQ144" s="105" t="str">
        <f t="shared" si="60"/>
        <v>0.000001-0.0844361427807835i</v>
      </c>
      <c r="AR144" s="105" t="str">
        <f t="shared" si="61"/>
        <v>0.0243176091208656+70.0347142680927i</v>
      </c>
      <c r="AS144" s="93" t="str">
        <f t="shared" si="58"/>
        <v>19.8528960862747+0.0001i</v>
      </c>
      <c r="AT144" s="87"/>
      <c r="AU144" s="87" t="str">
        <f t="shared" si="62"/>
        <v>0.0243186091208656+69.9502781253119i</v>
      </c>
      <c r="AV144" s="87" t="str">
        <f t="shared" si="63"/>
        <v>0.475799792026746+1388.71560525969i</v>
      </c>
      <c r="AW144" s="87" t="str">
        <f t="shared" si="64"/>
        <v>19.8772146953956+69.9503781253119i</v>
      </c>
      <c r="AX144" s="87" t="str">
        <f t="shared" si="65"/>
        <v>18.3713534515018+5.2136321029622i</v>
      </c>
      <c r="AY144" s="87" t="str">
        <f t="shared" si="66"/>
        <v>18.3714534515018+3.8911321029622i</v>
      </c>
      <c r="AZ144" s="87">
        <f t="shared" si="67"/>
        <v>28.79999999999993</v>
      </c>
      <c r="BA144" s="87">
        <f t="shared" si="68"/>
        <v>18.779009850452727</v>
      </c>
    </row>
    <row r="145" spans="1:53" x14ac:dyDescent="0.25">
      <c r="AO145" s="87">
        <f t="shared" si="53"/>
        <v>28.999999999999929</v>
      </c>
      <c r="AP145" s="126" t="str">
        <f t="shared" si="59"/>
        <v>0.0001-1.31337931034483i</v>
      </c>
      <c r="AQ145" s="105" t="str">
        <f t="shared" si="60"/>
        <v>0.000001-0.0838538245547091i</v>
      </c>
      <c r="AR145" s="105" t="str">
        <f t="shared" si="61"/>
        <v>0.0243176091208656+70.52106645051i</v>
      </c>
      <c r="AS145" s="93" t="str">
        <f t="shared" si="58"/>
        <v>19.8528960862747+0.0001i</v>
      </c>
      <c r="AT145" s="87"/>
      <c r="AU145" s="87" t="str">
        <f t="shared" si="62"/>
        <v>0.0243186091208656+70.4372126259553i</v>
      </c>
      <c r="AV145" s="87" t="str">
        <f t="shared" si="63"/>
        <v>0.475751098576681+1398.38266530179i</v>
      </c>
      <c r="AW145" s="87" t="str">
        <f t="shared" si="64"/>
        <v>19.8772146953956+70.4373126259553i</v>
      </c>
      <c r="AX145" s="87" t="str">
        <f t="shared" si="65"/>
        <v>18.390260459878+5.18292636042644i</v>
      </c>
      <c r="AY145" s="87" t="str">
        <f t="shared" si="66"/>
        <v>18.390360459878+3.86954705008161i</v>
      </c>
      <c r="AZ145" s="87">
        <f t="shared" si="67"/>
        <v>28.999999999999929</v>
      </c>
      <c r="BA145" s="87">
        <f t="shared" si="68"/>
        <v>18.79305063626019</v>
      </c>
    </row>
    <row r="146" spans="1:53" x14ac:dyDescent="0.25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AO146" s="87">
        <f t="shared" si="53"/>
        <v>29.199999999999928</v>
      </c>
      <c r="AP146" s="126" t="str">
        <f t="shared" si="59"/>
        <v>0.0001-1.30438356164384i</v>
      </c>
      <c r="AQ146" s="105" t="str">
        <f t="shared" si="60"/>
        <v>0.000001-0.0832794832906357i</v>
      </c>
      <c r="AR146" s="105" t="str">
        <f t="shared" si="61"/>
        <v>0.0243176091208656+71.0074186329273i</v>
      </c>
      <c r="AS146" s="93" t="str">
        <f t="shared" si="58"/>
        <v>19.8528960862747+0.0001i</v>
      </c>
      <c r="AT146" s="87"/>
      <c r="AU146" s="87" t="str">
        <f t="shared" si="62"/>
        <v>0.0243186091208656+70.9241391496367i</v>
      </c>
      <c r="AV146" s="87" t="str">
        <f t="shared" si="63"/>
        <v>0.475702405924313+1408.04956697809i</v>
      </c>
      <c r="AW146" s="87" t="str">
        <f t="shared" si="64"/>
        <v>19.8772146953956+70.9242391496367i</v>
      </c>
      <c r="AX146" s="87" t="str">
        <f t="shared" si="65"/>
        <v>18.4088169003845+5.15254457140155i</v>
      </c>
      <c r="AY146" s="87" t="str">
        <f t="shared" si="66"/>
        <v>18.4089169003845+3.84816100975771i</v>
      </c>
      <c r="AZ146" s="87">
        <f t="shared" si="67"/>
        <v>29.199999999999928</v>
      </c>
      <c r="BA146" s="87">
        <f t="shared" si="68"/>
        <v>18.806822288794073</v>
      </c>
    </row>
    <row r="147" spans="1:53" x14ac:dyDescent="0.25">
      <c r="AO147" s="87">
        <f t="shared" si="53"/>
        <v>29.399999999999928</v>
      </c>
      <c r="AP147" s="126" t="str">
        <f t="shared" si="59"/>
        <v>0.0001-1.29551020408164i</v>
      </c>
      <c r="AQ147" s="105" t="str">
        <f t="shared" si="60"/>
        <v>0.000001-0.0827129561934205i</v>
      </c>
      <c r="AR147" s="105" t="str">
        <f t="shared" si="61"/>
        <v>0.0243176091208656+71.4937708153446i</v>
      </c>
      <c r="AS147" s="93" t="str">
        <f t="shared" si="58"/>
        <v>19.8528960862747+0.0001i</v>
      </c>
      <c r="AT147" s="87"/>
      <c r="AU147" s="87" t="str">
        <f t="shared" si="62"/>
        <v>0.0243186091208656+71.4110578591512i</v>
      </c>
      <c r="AV147" s="87" t="str">
        <f t="shared" si="63"/>
        <v>0.475653714053362+1417.71631352054i</v>
      </c>
      <c r="AW147" s="87" t="str">
        <f t="shared" si="64"/>
        <v>19.8772146953956+71.4111578591512i</v>
      </c>
      <c r="AX147" s="87" t="str">
        <f t="shared" si="65"/>
        <v>18.4270311548962+5.1224824203531i</v>
      </c>
      <c r="AY147" s="87" t="str">
        <f t="shared" si="66"/>
        <v>18.4271311548962+3.82697221627146i</v>
      </c>
      <c r="AZ147" s="87">
        <f t="shared" si="67"/>
        <v>29.399999999999928</v>
      </c>
      <c r="BA147" s="87">
        <f t="shared" si="68"/>
        <v>18.82033153118881</v>
      </c>
    </row>
    <row r="148" spans="1:53" x14ac:dyDescent="0.25"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AO148" s="87">
        <f t="shared" si="53"/>
        <v>29.599999999999927</v>
      </c>
      <c r="AP148" s="126" t="str">
        <f t="shared" si="59"/>
        <v>0.0001-1.28675675675676i</v>
      </c>
      <c r="AQ148" s="105" t="str">
        <f t="shared" si="60"/>
        <v>0.000001-0.0821540848677893i</v>
      </c>
      <c r="AR148" s="105" t="str">
        <f t="shared" si="61"/>
        <v>0.0243176091208656+71.9801229977619i</v>
      </c>
      <c r="AS148" s="93" t="str">
        <f t="shared" si="58"/>
        <v>19.8528960862747+0.0001i</v>
      </c>
      <c r="AT148" s="87"/>
      <c r="AU148" s="87" t="str">
        <f t="shared" si="62"/>
        <v>0.0243186091208656+71.8979689128941i</v>
      </c>
      <c r="AV148" s="87" t="str">
        <f t="shared" si="63"/>
        <v>0.475605022947988+1427.38290807376i</v>
      </c>
      <c r="AW148" s="87" t="str">
        <f t="shared" si="64"/>
        <v>19.8772146953956+71.8980689128941i</v>
      </c>
      <c r="AX148" s="87" t="str">
        <f t="shared" si="65"/>
        <v>18.4449113636775+5.09273564265014i</v>
      </c>
      <c r="AY148" s="87" t="str">
        <f t="shared" si="66"/>
        <v>18.4450113636775+3.80597888589338i</v>
      </c>
      <c r="AZ148" s="87">
        <f t="shared" si="67"/>
        <v>29.599999999999927</v>
      </c>
      <c r="BA148" s="87">
        <f t="shared" si="68"/>
        <v>18.833584881430788</v>
      </c>
    </row>
    <row r="149" spans="1:53" x14ac:dyDescent="0.25">
      <c r="AO149" s="87">
        <f t="shared" si="53"/>
        <v>29.799999999999926</v>
      </c>
      <c r="AP149" s="126" t="str">
        <f t="shared" si="59"/>
        <v>0.0001-1.27812080536913i</v>
      </c>
      <c r="AQ149" s="105" t="str">
        <f t="shared" si="60"/>
        <v>0.000001-0.0816027151706901i</v>
      </c>
      <c r="AR149" s="105" t="str">
        <f t="shared" si="61"/>
        <v>0.0243176091208656+72.4664751801792i</v>
      </c>
      <c r="AS149" s="93" t="str">
        <f t="shared" si="58"/>
        <v>19.8528960862747+0.0001i</v>
      </c>
      <c r="AT149" s="87"/>
      <c r="AU149" s="87" t="str">
        <f t="shared" si="62"/>
        <v>0.0243186091208656+72.3848724650085i</v>
      </c>
      <c r="AV149" s="87" t="str">
        <f t="shared" si="63"/>
        <v>0.475556332592776+1437.04935369792i</v>
      </c>
      <c r="AW149" s="87" t="str">
        <f t="shared" si="64"/>
        <v>19.8772146953956+72.3849724650085i</v>
      </c>
      <c r="AX149" s="87" t="str">
        <f t="shared" si="65"/>
        <v>18.4624654334063+5.06330002502546i</v>
      </c>
      <c r="AY149" s="87" t="str">
        <f t="shared" si="66"/>
        <v>18.4625654334063+3.78517921965633i</v>
      </c>
      <c r="AZ149" s="87">
        <f t="shared" si="67"/>
        <v>29.799999999999926</v>
      </c>
      <c r="BA149" s="87">
        <f t="shared" si="68"/>
        <v>18.846588659694554</v>
      </c>
    </row>
    <row r="150" spans="1:53" x14ac:dyDescent="0.25">
      <c r="AO150" s="87">
        <f t="shared" si="53"/>
        <v>29.999999999999925</v>
      </c>
      <c r="AP150" s="126" t="str">
        <f t="shared" si="59"/>
        <v>0.0001-1.2696i</v>
      </c>
      <c r="AQ150" s="105" t="str">
        <f t="shared" si="60"/>
        <v>0.000001-0.0810586970695521i</v>
      </c>
      <c r="AR150" s="105" t="str">
        <f t="shared" si="61"/>
        <v>0.0243176091208656+72.9528273625966i</v>
      </c>
      <c r="AS150" s="93" t="str">
        <f t="shared" si="58"/>
        <v>19.8528960862747+0.0001i</v>
      </c>
      <c r="AT150" s="87"/>
      <c r="AU150" s="87" t="str">
        <f t="shared" si="62"/>
        <v>0.0243186091208656+72.871768665527i</v>
      </c>
      <c r="AV150" s="87" t="str">
        <f t="shared" si="63"/>
        <v>0.475507642972724+1446.71565337162i</v>
      </c>
      <c r="AW150" s="87" t="str">
        <f t="shared" si="64"/>
        <v>19.8772146953956+72.871868665527i</v>
      </c>
      <c r="AX150" s="87" t="str">
        <f t="shared" si="65"/>
        <v>18.4797010449028+5.03417140593831i</v>
      </c>
      <c r="AY150" s="87" t="str">
        <f t="shared" si="66"/>
        <v>18.4798010449028+3.76457140593831i</v>
      </c>
      <c r="AZ150" s="87">
        <f t="shared" si="67"/>
        <v>29.999999999999925</v>
      </c>
      <c r="BA150" s="87">
        <f t="shared" si="68"/>
        <v>18.859348995381545</v>
      </c>
    </row>
    <row r="151" spans="1:53" x14ac:dyDescent="0.25">
      <c r="AO151" s="87">
        <f t="shared" si="53"/>
        <v>30.199999999999925</v>
      </c>
      <c r="AP151" s="126" t="str">
        <f t="shared" si="59"/>
        <v>0.0001-1.26119205298014i</v>
      </c>
      <c r="AQ151" s="105" t="str">
        <f t="shared" si="60"/>
        <v>0.000001-0.0805218845061776i</v>
      </c>
      <c r="AR151" s="105" t="str">
        <f t="shared" si="61"/>
        <v>0.0243176091208656+73.4391795450139i</v>
      </c>
      <c r="AS151" s="93" t="str">
        <f t="shared" si="58"/>
        <v>19.8528960862747+0.0001i</v>
      </c>
      <c r="AT151" s="87"/>
      <c r="AU151" s="87" t="str">
        <f t="shared" si="62"/>
        <v>0.0243186091208656+73.3586576605077i</v>
      </c>
      <c r="AV151" s="87" t="str">
        <f t="shared" si="63"/>
        <v>0.475458954073226+1456.38180999452i</v>
      </c>
      <c r="AW151" s="87" t="str">
        <f t="shared" si="64"/>
        <v>19.8772146953956+73.3587576605077i</v>
      </c>
      <c r="AX151" s="87" t="str">
        <f t="shared" si="65"/>
        <v>18.4966256605723+5.00534567584639i</v>
      </c>
      <c r="AY151" s="87" t="str">
        <f t="shared" si="66"/>
        <v>18.4967256605723+3.74415362286625i</v>
      </c>
      <c r="AZ151" s="87">
        <f t="shared" si="67"/>
        <v>30.199999999999925</v>
      </c>
      <c r="BA151" s="87">
        <f t="shared" si="68"/>
        <v>18.871871833872131</v>
      </c>
    </row>
    <row r="152" spans="1:53" x14ac:dyDescent="0.25">
      <c r="AO152" s="87">
        <f t="shared" si="53"/>
        <v>30.399999999999924</v>
      </c>
      <c r="AP152" s="126" t="str">
        <f t="shared" si="59"/>
        <v>0.0001-1.25289473684211i</v>
      </c>
      <c r="AQ152" s="105" t="str">
        <f t="shared" si="60"/>
        <v>0.000001-0.0799921352660054i</v>
      </c>
      <c r="AR152" s="105" t="str">
        <f t="shared" si="61"/>
        <v>0.0243176091208656+73.9255317274312i</v>
      </c>
      <c r="AS152" s="93" t="str">
        <f t="shared" si="58"/>
        <v>19.8528960862747+0.0001i</v>
      </c>
      <c r="AT152" s="87"/>
      <c r="AU152" s="87" t="str">
        <f t="shared" si="62"/>
        <v>0.0243186091208656+73.8455395921652i</v>
      </c>
      <c r="AV152" s="87" t="str">
        <f t="shared" si="63"/>
        <v>0.47541026588006+1466.04782639i</v>
      </c>
      <c r="AW152" s="87" t="str">
        <f t="shared" si="64"/>
        <v>19.8772146953956+73.8456395921652i</v>
      </c>
      <c r="AX152" s="87" t="str">
        <f t="shared" si="65"/>
        <v>18.5132465315757+4.97681877739509i</v>
      </c>
      <c r="AY152" s="87" t="str">
        <f t="shared" si="66"/>
        <v>18.5133465315757+3.72392404055298i</v>
      </c>
      <c r="AZ152" s="87">
        <f t="shared" si="67"/>
        <v>30.399999999999924</v>
      </c>
      <c r="BA152" s="87">
        <f t="shared" si="68"/>
        <v>18.884162943006356</v>
      </c>
    </row>
    <row r="153" spans="1:53" x14ac:dyDescent="0.25">
      <c r="AO153" s="87">
        <f t="shared" si="53"/>
        <v>30.599999999999923</v>
      </c>
      <c r="AP153" s="126" t="str">
        <f t="shared" si="59"/>
        <v>0.0001-1.24470588235294i</v>
      </c>
      <c r="AQ153" s="105" t="str">
        <f t="shared" si="60"/>
        <v>0.000001-0.0794693108525021i</v>
      </c>
      <c r="AR153" s="105" t="str">
        <f t="shared" si="61"/>
        <v>0.0243176091208656+74.4118839098485i</v>
      </c>
      <c r="AS153" s="93" t="str">
        <f t="shared" si="58"/>
        <v>19.8528960862747+0.0001i</v>
      </c>
      <c r="AT153" s="87"/>
      <c r="AU153" s="87" t="str">
        <f t="shared" si="62"/>
        <v>0.0243186091208656+74.332414598996i</v>
      </c>
      <c r="AV153" s="87" t="str">
        <f t="shared" si="63"/>
        <v>0.475361578379377+1475.71370530762i</v>
      </c>
      <c r="AW153" s="87" t="str">
        <f t="shared" si="64"/>
        <v>19.8772146953956+74.332514598996i</v>
      </c>
      <c r="AX153" s="87" t="str">
        <f t="shared" si="65"/>
        <v>18.5295707047374+4.9485867055299i</v>
      </c>
      <c r="AY153" s="87" t="str">
        <f t="shared" si="66"/>
        <v>18.5296707047374+3.70388082317696i</v>
      </c>
      <c r="AZ153" s="87">
        <f t="shared" si="67"/>
        <v>30.599999999999923</v>
      </c>
      <c r="BA153" s="87">
        <f t="shared" si="68"/>
        <v>18.896227919304458</v>
      </c>
    </row>
    <row r="154" spans="1:53" x14ac:dyDescent="0.25">
      <c r="AO154" s="87">
        <f t="shared" si="53"/>
        <v>30.799999999999923</v>
      </c>
      <c r="AP154" s="126" t="str">
        <f t="shared" si="59"/>
        <v>0.0001-1.23662337662338i</v>
      </c>
      <c r="AQ154" s="105" t="str">
        <f t="shared" si="60"/>
        <v>0.000001-0.0789532763664469i</v>
      </c>
      <c r="AR154" s="105" t="str">
        <f t="shared" si="61"/>
        <v>0.0243176091208656+74.8982360922658i</v>
      </c>
      <c r="AS154" s="93" t="str">
        <f t="shared" si="58"/>
        <v>19.8528960862747+0.0001i</v>
      </c>
      <c r="AT154" s="87"/>
      <c r="AU154" s="87" t="str">
        <f t="shared" si="62"/>
        <v>0.0243186091208656+74.8192828158994i</v>
      </c>
      <c r="AV154" s="87" t="str">
        <f t="shared" si="63"/>
        <v>0.475312891557687+1485.37944942551i</v>
      </c>
      <c r="AW154" s="87" t="str">
        <f t="shared" si="64"/>
        <v>19.8772146953956+74.8193828158994i</v>
      </c>
      <c r="AX154" s="87" t="str">
        <f t="shared" si="65"/>
        <v>18.5456050292006+4.92064550753867i</v>
      </c>
      <c r="AY154" s="87" t="str">
        <f t="shared" si="66"/>
        <v>18.5457050292006+3.68402213091529i</v>
      </c>
      <c r="AZ154" s="87">
        <f t="shared" si="67"/>
        <v>30.799999999999923</v>
      </c>
      <c r="BA154" s="87">
        <f t="shared" si="68"/>
        <v>18.908072193938494</v>
      </c>
    </row>
    <row r="155" spans="1:53" x14ac:dyDescent="0.25">
      <c r="AO155" s="87">
        <f t="shared" si="53"/>
        <v>30.999999999999922</v>
      </c>
      <c r="AP155" s="126" t="str">
        <f t="shared" si="59"/>
        <v>0.0001-1.22864516129033i</v>
      </c>
      <c r="AQ155" s="105" t="str">
        <f t="shared" si="60"/>
        <v>0.000001-0.0784439003898891i</v>
      </c>
      <c r="AR155" s="105" t="str">
        <f t="shared" si="61"/>
        <v>0.0243176091208656+75.3845882746831i</v>
      </c>
      <c r="AS155" s="93" t="str">
        <f t="shared" si="58"/>
        <v>19.8528960862747+0.0001i</v>
      </c>
      <c r="AT155" s="87"/>
      <c r="AU155" s="87" t="str">
        <f t="shared" si="62"/>
        <v>0.0243186091208656+75.3061443742932i</v>
      </c>
      <c r="AV155" s="87" t="str">
        <f t="shared" si="63"/>
        <v>0.475264205401848+1495.0450613527i</v>
      </c>
      <c r="AW155" s="87" t="str">
        <f t="shared" si="64"/>
        <v>19.8772146953956+75.3062443742932i</v>
      </c>
      <c r="AX155" s="87" t="str">
        <f t="shared" si="65"/>
        <v>18.5613561628414+4.89299128302943i</v>
      </c>
      <c r="AY155" s="87" t="str">
        <f t="shared" si="66"/>
        <v>18.5614561628414+3.6643461217391i</v>
      </c>
      <c r="AZ155" s="87">
        <f t="shared" si="67"/>
        <v>30.999999999999922</v>
      </c>
      <c r="BA155" s="87">
        <f t="shared" si="68"/>
        <v>18.919701038467476</v>
      </c>
    </row>
    <row r="156" spans="1:53" x14ac:dyDescent="0.25">
      <c r="AO156" s="87">
        <f t="shared" si="53"/>
        <v>31.199999999999921</v>
      </c>
      <c r="AP156" s="126" t="str">
        <f t="shared" si="59"/>
        <v>0.0001-1.22076923076923i</v>
      </c>
      <c r="AQ156" s="105" t="str">
        <f t="shared" si="60"/>
        <v>0.000001-0.0779410548745693i</v>
      </c>
      <c r="AR156" s="105" t="str">
        <f t="shared" si="61"/>
        <v>0.0243176091208656+75.8709404571004i</v>
      </c>
      <c r="AS156" s="93" t="str">
        <f t="shared" si="58"/>
        <v>19.8528960862747+0.0001i</v>
      </c>
      <c r="AT156" s="87"/>
      <c r="AU156" s="87" t="str">
        <f t="shared" si="62"/>
        <v>0.0243186091208656+75.7929994022258i</v>
      </c>
      <c r="AV156" s="87" t="str">
        <f t="shared" si="63"/>
        <v>0.475215519899054+1504.71054363133i</v>
      </c>
      <c r="AW156" s="87" t="str">
        <f t="shared" si="64"/>
        <v>19.8772146953956+75.7930994022258i</v>
      </c>
      <c r="AX156" s="87" t="str">
        <f t="shared" si="65"/>
        <v>18.5768305784493+4.8656201838488i</v>
      </c>
      <c r="AY156" s="87" t="str">
        <f t="shared" si="66"/>
        <v>18.5769305784493+3.64485095307957i</v>
      </c>
      <c r="AZ156" s="87">
        <f t="shared" si="67"/>
        <v>31.199999999999921</v>
      </c>
      <c r="BA156" s="87">
        <f t="shared" si="68"/>
        <v>18.931119570344741</v>
      </c>
    </row>
    <row r="157" spans="1:53" x14ac:dyDescent="0.25">
      <c r="AO157" s="87">
        <f t="shared" si="53"/>
        <v>31.39999999999992</v>
      </c>
      <c r="AP157" s="126" t="str">
        <f t="shared" si="59"/>
        <v>0.0001-1.21299363057325i</v>
      </c>
      <c r="AQ157" s="105" t="str">
        <f t="shared" si="60"/>
        <v>0.000001-0.0774446150346039i</v>
      </c>
      <c r="AR157" s="105" t="str">
        <f t="shared" si="61"/>
        <v>0.0243176091208656+76.3572926395177i</v>
      </c>
      <c r="AS157" s="93" t="str">
        <f t="shared" si="58"/>
        <v>19.8528960862747+0.0001i</v>
      </c>
      <c r="AT157" s="87"/>
      <c r="AU157" s="87" t="str">
        <f t="shared" si="62"/>
        <v>0.0243186091208656+76.2798480244831i</v>
      </c>
      <c r="AV157" s="87" t="str">
        <f t="shared" si="63"/>
        <v>0.475166835036829+1514.37589873875i</v>
      </c>
      <c r="AW157" s="87" t="str">
        <f t="shared" si="64"/>
        <v>19.8772146953956+76.2799480244831i</v>
      </c>
      <c r="AX157" s="87" t="str">
        <f t="shared" si="65"/>
        <v>18.592034569685+4.83852841394631i</v>
      </c>
      <c r="AY157" s="87" t="str">
        <f t="shared" si="66"/>
        <v>18.592134569685+3.62553478337306i</v>
      </c>
      <c r="AZ157" s="87">
        <f t="shared" si="67"/>
        <v>31.39999999999992</v>
      </c>
      <c r="BA157" s="87">
        <f t="shared" si="68"/>
        <v>18.942332758209165</v>
      </c>
    </row>
    <row r="158" spans="1:53" x14ac:dyDescent="0.25">
      <c r="AO158" s="87">
        <f t="shared" si="53"/>
        <v>31.59999999999992</v>
      </c>
      <c r="AP158" s="126" t="str">
        <f t="shared" si="59"/>
        <v>0.0001-1.20531645569621i</v>
      </c>
      <c r="AQ158" s="105" t="str">
        <f t="shared" si="60"/>
        <v>0.000001-0.0769544592432457i</v>
      </c>
      <c r="AR158" s="105" t="str">
        <f t="shared" si="61"/>
        <v>0.0243176091208656+76.843644821935i</v>
      </c>
      <c r="AS158" s="93" t="str">
        <f t="shared" si="58"/>
        <v>19.8528960862747+0.0001i</v>
      </c>
      <c r="AT158" s="87"/>
      <c r="AU158" s="87" t="str">
        <f t="shared" si="62"/>
        <v>0.0243186091208656+76.7666903626918i</v>
      </c>
      <c r="AV158" s="87" t="str">
        <f t="shared" si="63"/>
        <v>0.475118150803008+1524.04112908961i</v>
      </c>
      <c r="AW158" s="87" t="str">
        <f t="shared" si="64"/>
        <v>19.8772146953956+76.7667903626918i</v>
      </c>
      <c r="AX158" s="87" t="str">
        <f t="shared" si="65"/>
        <v>18.6069742568233+4.81171222918926i</v>
      </c>
      <c r="AY158" s="87" t="str">
        <f t="shared" si="66"/>
        <v>18.6070742568233+3.60639577349305i</v>
      </c>
      <c r="AZ158" s="87">
        <f t="shared" si="67"/>
        <v>31.59999999999992</v>
      </c>
      <c r="BA158" s="87">
        <f t="shared" si="68"/>
        <v>18.953345426968951</v>
      </c>
    </row>
    <row r="159" spans="1:53" x14ac:dyDescent="0.25">
      <c r="AO159" s="87">
        <f t="shared" si="53"/>
        <v>31.799999999999919</v>
      </c>
      <c r="AP159" s="126" t="str">
        <f t="shared" si="59"/>
        <v>0.0001-1.19773584905661i</v>
      </c>
      <c r="AQ159" s="105" t="str">
        <f t="shared" si="60"/>
        <v>0.000001-0.0764704689335397i</v>
      </c>
      <c r="AR159" s="105" t="str">
        <f t="shared" si="61"/>
        <v>0.0243176091208656+77.3299970043523i</v>
      </c>
      <c r="AS159" s="93" t="str">
        <f t="shared" si="58"/>
        <v>19.8528960862747+0.0001i</v>
      </c>
      <c r="AT159" s="87"/>
      <c r="AU159" s="87" t="str">
        <f t="shared" si="62"/>
        <v>0.0243186091208656+77.2535265354188i</v>
      </c>
      <c r="AV159" s="87" t="str">
        <f t="shared" si="63"/>
        <v>0.475069467185735+1533.7062370378i</v>
      </c>
      <c r="AW159" s="87" t="str">
        <f t="shared" si="64"/>
        <v>19.8772146953956+77.2536265354188i</v>
      </c>
      <c r="AX159" s="87" t="str">
        <f t="shared" si="65"/>
        <v>18.6216555922892+4.78516793713206i</v>
      </c>
      <c r="AY159" s="87" t="str">
        <f t="shared" si="66"/>
        <v>18.6217555922892+3.58743208807545i</v>
      </c>
      <c r="AZ159" s="87">
        <f t="shared" si="67"/>
        <v>31.799999999999919</v>
      </c>
      <c r="BA159" s="87">
        <f t="shared" si="68"/>
        <v>18.964162262686624</v>
      </c>
    </row>
    <row r="160" spans="1:53" x14ac:dyDescent="0.25">
      <c r="AO160" s="87">
        <f t="shared" si="53"/>
        <v>31.999999999999918</v>
      </c>
      <c r="AP160" s="126" t="str">
        <f t="shared" si="59"/>
        <v>0.0001-1.19025i</v>
      </c>
      <c r="AQ160" s="105" t="str">
        <f t="shared" si="60"/>
        <v>0.000001-0.0759925285027051i</v>
      </c>
      <c r="AR160" s="105" t="str">
        <f t="shared" si="61"/>
        <v>0.0243176091208656+77.8163491867696i</v>
      </c>
      <c r="AS160" s="93" t="str">
        <f t="shared" si="58"/>
        <v>19.8528960862747+0.0001i</v>
      </c>
      <c r="AT160" s="87"/>
      <c r="AU160" s="87" t="str">
        <f t="shared" si="62"/>
        <v>0.0243186091208656+77.7403566582669i</v>
      </c>
      <c r="AV160" s="87" t="str">
        <f t="shared" si="63"/>
        <v>0.47502078417345+1543.37122487837i</v>
      </c>
      <c r="AW160" s="87" t="str">
        <f t="shared" si="64"/>
        <v>19.8772146953956+77.7404566582669i</v>
      </c>
      <c r="AX160" s="87" t="str">
        <f t="shared" si="65"/>
        <v>18.636084365997+4.75889189674465i</v>
      </c>
      <c r="AY160" s="87" t="str">
        <f t="shared" si="66"/>
        <v>18.636184365997+3.56864189674465i</v>
      </c>
      <c r="AZ160" s="87">
        <f t="shared" si="67"/>
        <v>31.999999999999918</v>
      </c>
      <c r="BA160" s="87">
        <f t="shared" si="68"/>
        <v>18.974787817275647</v>
      </c>
    </row>
    <row r="161" spans="2:53" x14ac:dyDescent="0.25">
      <c r="AO161" s="87">
        <f t="shared" si="53"/>
        <v>32.199999999999918</v>
      </c>
      <c r="AP161" s="126" t="str">
        <f t="shared" si="59"/>
        <v>0.0001-1.18285714285715i</v>
      </c>
      <c r="AQ161" s="105" t="str">
        <f t="shared" si="60"/>
        <v>0.000001-0.0755205252200796i</v>
      </c>
      <c r="AR161" s="105" t="str">
        <f t="shared" si="61"/>
        <v>0.0243176091208656+78.3027013691869i</v>
      </c>
      <c r="AS161" s="93" t="str">
        <f t="shared" si="58"/>
        <v>19.8528960862747+0.0001i</v>
      </c>
      <c r="AT161" s="87"/>
      <c r="AU161" s="87" t="str">
        <f t="shared" si="62"/>
        <v>0.0243186091208656+78.2271808439668i</v>
      </c>
      <c r="AV161" s="87" t="str">
        <f t="shared" si="63"/>
        <v>0.47497210175488+1553.03609484935i</v>
      </c>
      <c r="AW161" s="87" t="str">
        <f t="shared" si="64"/>
        <v>19.8772146953956+78.2272808439668i</v>
      </c>
      <c r="AX161" s="87" t="str">
        <f t="shared" si="65"/>
        <v>18.6502662104978+4.73288051810313i</v>
      </c>
      <c r="AY161" s="87" t="str">
        <f t="shared" si="66"/>
        <v>18.6503662104978+3.55002337524598i</v>
      </c>
      <c r="AZ161" s="87">
        <f t="shared" si="67"/>
        <v>32.199999999999918</v>
      </c>
      <c r="BA161" s="87">
        <f t="shared" si="68"/>
        <v>18.98522651301456</v>
      </c>
    </row>
    <row r="162" spans="2:53" x14ac:dyDescent="0.25">
      <c r="AO162" s="87">
        <f t="shared" ref="AO162:AO188" si="69">AO161+0.2</f>
        <v>32.39999999999992</v>
      </c>
      <c r="AP162" s="126" t="str">
        <f t="shared" si="59"/>
        <v>0.0001-1.17555555555556i</v>
      </c>
      <c r="AQ162" s="105" t="str">
        <f t="shared" si="60"/>
        <v>0.000001-0.0750543491384742i</v>
      </c>
      <c r="AR162" s="105" t="str">
        <f t="shared" si="61"/>
        <v>0.0243176091208656+78.7890535516043i</v>
      </c>
      <c r="AS162" s="93" t="str">
        <f t="shared" si="58"/>
        <v>19.8528960862747+0.0001i</v>
      </c>
      <c r="AT162" s="87"/>
      <c r="AU162" s="87" t="str">
        <f t="shared" si="62"/>
        <v>0.0243186091208656+78.7139992024658i</v>
      </c>
      <c r="AV162" s="87" t="str">
        <f t="shared" si="63"/>
        <v>0.47492341991903+1562.70084913352i</v>
      </c>
      <c r="AW162" s="87" t="str">
        <f t="shared" si="64"/>
        <v>19.8772146953956+78.7140992024658i</v>
      </c>
      <c r="AX162" s="87" t="str">
        <f t="shared" si="65"/>
        <v>18.6642066059444+4.70713026204653i</v>
      </c>
      <c r="AY162" s="87" t="str">
        <f t="shared" si="66"/>
        <v>18.6643066059444+3.53157470649097i</v>
      </c>
      <c r="AZ162" s="87">
        <f t="shared" si="67"/>
        <v>32.39999999999992</v>
      </c>
      <c r="BA162" s="87">
        <f t="shared" si="68"/>
        <v>18.995482646888092</v>
      </c>
    </row>
    <row r="163" spans="2:53" x14ac:dyDescent="0.25">
      <c r="AO163" s="87">
        <f t="shared" si="69"/>
        <v>32.599999999999923</v>
      </c>
      <c r="AP163" s="126" t="str">
        <f t="shared" si="59"/>
        <v>0.0001-1.16834355828221i</v>
      </c>
      <c r="AQ163" s="105" t="str">
        <f t="shared" si="60"/>
        <v>0.000001-0.0745938930087903i</v>
      </c>
      <c r="AR163" s="105" t="str">
        <f t="shared" si="61"/>
        <v>0.0243176091208656+79.2754057340216i</v>
      </c>
      <c r="AS163" s="93" t="str">
        <f t="shared" ref="AS163:AS194" si="70">COMPLEX($D$17,0.0001)</f>
        <v>19.8528960862747+0.0001i</v>
      </c>
      <c r="AT163" s="87"/>
      <c r="AU163" s="87" t="str">
        <f t="shared" si="62"/>
        <v>0.0243186091208656+79.2008118410128i</v>
      </c>
      <c r="AV163" s="87" t="str">
        <f t="shared" si="63"/>
        <v>0.474874738655176+1572.36548986008i</v>
      </c>
      <c r="AW163" s="87" t="str">
        <f t="shared" si="64"/>
        <v>19.8772146953956+79.2009118410128i</v>
      </c>
      <c r="AX163" s="87" t="str">
        <f t="shared" si="65"/>
        <v>18.6779108848801+4.68163763980259i</v>
      </c>
      <c r="AY163" s="87" t="str">
        <f t="shared" si="66"/>
        <v>18.6780108848801+3.51329408152038i</v>
      </c>
      <c r="AZ163" s="87">
        <f t="shared" si="67"/>
        <v>32.599999999999923</v>
      </c>
      <c r="BA163" s="87">
        <f t="shared" si="68"/>
        <v>19.005560394761993</v>
      </c>
    </row>
    <row r="164" spans="2:53" x14ac:dyDescent="0.25">
      <c r="AO164" s="87">
        <f t="shared" si="69"/>
        <v>32.799999999999926</v>
      </c>
      <c r="AP164" s="126" t="str">
        <f t="shared" si="59"/>
        <v>0.0001-1.16121951219512i</v>
      </c>
      <c r="AQ164" s="105" t="str">
        <f t="shared" si="60"/>
        <v>0.000001-0.0741390521977611i</v>
      </c>
      <c r="AR164" s="105" t="str">
        <f t="shared" si="61"/>
        <v>0.0243176091208656+79.7617579164389i</v>
      </c>
      <c r="AS164" s="93" t="str">
        <f t="shared" si="70"/>
        <v>19.8528960862747+0.0001i</v>
      </c>
      <c r="AT164" s="87"/>
      <c r="AU164" s="87" t="str">
        <f t="shared" si="62"/>
        <v>0.0243186091208656+79.6876188642411i</v>
      </c>
      <c r="AV164" s="87" t="str">
        <f t="shared" si="63"/>
        <v>0.474826057952853+1582.0300191063i</v>
      </c>
      <c r="AW164" s="87" t="str">
        <f t="shared" si="64"/>
        <v>19.8772146953956+79.6877188642411i</v>
      </c>
      <c r="AX164" s="87" t="str">
        <f t="shared" si="65"/>
        <v>18.6913842368582+4.65639921258579i</v>
      </c>
      <c r="AY164" s="87" t="str">
        <f t="shared" si="66"/>
        <v>18.6914842368582+3.49517970039067i</v>
      </c>
      <c r="AZ164" s="87">
        <f t="shared" si="67"/>
        <v>32.799999999999926</v>
      </c>
      <c r="BA164" s="87">
        <f t="shared" si="68"/>
        <v>19.015463815398814</v>
      </c>
    </row>
    <row r="165" spans="2:53" x14ac:dyDescent="0.25">
      <c r="AO165" s="87">
        <f t="shared" si="69"/>
        <v>32.999999999999929</v>
      </c>
      <c r="AP165" s="126" t="str">
        <f t="shared" si="59"/>
        <v>0.0001-1.15418181818182i</v>
      </c>
      <c r="AQ165" s="105" t="str">
        <f t="shared" si="60"/>
        <v>0.000001-0.0736897246086837i</v>
      </c>
      <c r="AR165" s="105" t="str">
        <f t="shared" si="61"/>
        <v>0.0243176091208656+80.2481100988562i</v>
      </c>
      <c r="AS165" s="93" t="str">
        <f t="shared" si="70"/>
        <v>19.8528960862747+0.0001i</v>
      </c>
      <c r="AT165" s="87"/>
      <c r="AU165" s="87" t="str">
        <f t="shared" si="62"/>
        <v>0.0243186091208656+80.1744203742475i</v>
      </c>
      <c r="AV165" s="87" t="str">
        <f t="shared" si="63"/>
        <v>0.474777377801852+1591.6944388991i</v>
      </c>
      <c r="AW165" s="87" t="str">
        <f t="shared" si="64"/>
        <v>19.8772146953956+80.1745203742475i</v>
      </c>
      <c r="AX165" s="87" t="str">
        <f t="shared" si="65"/>
        <v>18.7046317128996+4.63141159117029i</v>
      </c>
      <c r="AY165" s="87" t="str">
        <f t="shared" si="66"/>
        <v>18.7047317128996+3.47722977298847i</v>
      </c>
      <c r="AZ165" s="87">
        <f t="shared" si="67"/>
        <v>32.999999999999929</v>
      </c>
      <c r="BA165" s="87">
        <f t="shared" si="68"/>
        <v>19.025196854322154</v>
      </c>
    </row>
    <row r="166" spans="2:53" x14ac:dyDescent="0.25">
      <c r="AO166" s="87">
        <f t="shared" si="69"/>
        <v>33.199999999999932</v>
      </c>
      <c r="AP166" s="126" t="str">
        <f t="shared" si="59"/>
        <v>0.0001-1.14722891566265i</v>
      </c>
      <c r="AQ166" s="105" t="str">
        <f t="shared" si="60"/>
        <v>0.000001-0.0732458106050169i</v>
      </c>
      <c r="AR166" s="105" t="str">
        <f t="shared" si="61"/>
        <v>0.0243176091208656+80.7344622812736i</v>
      </c>
      <c r="AS166" s="93" t="str">
        <f t="shared" si="70"/>
        <v>19.8528960862747+0.0001i</v>
      </c>
      <c r="AT166" s="87"/>
      <c r="AU166" s="87" t="str">
        <f t="shared" si="62"/>
        <v>0.0243186091208656+80.6612164706686i</v>
      </c>
      <c r="AV166" s="87" t="str">
        <f t="shared" si="63"/>
        <v>0.47472869819221+1601.35875121655i</v>
      </c>
      <c r="AW166" s="87" t="str">
        <f t="shared" si="64"/>
        <v>19.8772146953956+80.6613164706686i</v>
      </c>
      <c r="AX166" s="87" t="str">
        <f t="shared" si="65"/>
        <v>18.7176582297931+4.60667143544036i</v>
      </c>
      <c r="AY166" s="87" t="str">
        <f t="shared" si="66"/>
        <v>18.7177582297931+3.45944251977771i</v>
      </c>
      <c r="AZ166" s="87">
        <f t="shared" si="67"/>
        <v>33.199999999999932</v>
      </c>
      <c r="BA166" s="87">
        <f t="shared" si="68"/>
        <v>19.034763347534248</v>
      </c>
    </row>
    <row r="167" spans="2:53" ht="21" x14ac:dyDescent="0.35">
      <c r="B167" s="286" t="s">
        <v>192</v>
      </c>
      <c r="C167" s="286"/>
      <c r="D167" s="286"/>
      <c r="E167" s="286"/>
      <c r="F167" s="286"/>
      <c r="G167" s="286"/>
      <c r="H167" s="286"/>
      <c r="I167" s="286"/>
      <c r="J167" s="286"/>
      <c r="K167" s="286"/>
      <c r="L167" s="286"/>
      <c r="AO167" s="87">
        <f t="shared" si="69"/>
        <v>33.399999999999935</v>
      </c>
      <c r="AP167" s="126" t="str">
        <f t="shared" si="59"/>
        <v>0.0001-1.14035928143713i</v>
      </c>
      <c r="AQ167" s="105" t="str">
        <f t="shared" si="60"/>
        <v>0.000001-0.0728072129367234i</v>
      </c>
      <c r="AR167" s="105" t="str">
        <f t="shared" si="61"/>
        <v>0.0243176091208656+81.2208144636909i</v>
      </c>
      <c r="AS167" s="93" t="str">
        <f t="shared" si="70"/>
        <v>19.8528960862747+0.0001i</v>
      </c>
      <c r="AT167" s="87"/>
      <c r="AU167" s="87" t="str">
        <f t="shared" si="62"/>
        <v>0.0243186091208656+81.1480072507542i</v>
      </c>
      <c r="AV167" s="87" t="str">
        <f t="shared" si="63"/>
        <v>0.474680019114201+1611.02295798935i</v>
      </c>
      <c r="AW167" s="87" t="str">
        <f t="shared" si="64"/>
        <v>19.8772146953956+81.1481072507542i</v>
      </c>
      <c r="AX167" s="87" t="str">
        <f t="shared" si="65"/>
        <v>18.730468574246+4.58217545392075i</v>
      </c>
      <c r="AY167" s="87" t="str">
        <f t="shared" si="66"/>
        <v>18.730568574246+3.44181617248362i</v>
      </c>
      <c r="AZ167" s="87">
        <f t="shared" si="67"/>
        <v>33.399999999999935</v>
      </c>
      <c r="BA167" s="87">
        <f t="shared" si="68"/>
        <v>19.04416702509463</v>
      </c>
    </row>
    <row r="168" spans="2:53" x14ac:dyDescent="0.25">
      <c r="B168" s="91" t="s">
        <v>189</v>
      </c>
      <c r="C168" s="87"/>
      <c r="D168" s="92">
        <f>3*0.05*D50</f>
        <v>61.683695652173895</v>
      </c>
      <c r="E168" s="87" t="str">
        <f>"Watts, 3-Phase or "&amp;ROUND(D168*3.412141,0)&amp;" BTUs/Hour"</f>
        <v>Watts, 3-Phase or 210 BTUs/Hour</v>
      </c>
      <c r="F168" s="87"/>
      <c r="G168" s="87"/>
      <c r="H168" s="87"/>
      <c r="I168" s="87"/>
      <c r="J168" s="87"/>
      <c r="K168" s="87"/>
      <c r="L168" s="87"/>
      <c r="AO168" s="87">
        <f t="shared" si="69"/>
        <v>33.599999999999937</v>
      </c>
      <c r="AP168" s="126" t="str">
        <f t="shared" si="59"/>
        <v>0.0001-1.13357142857143i</v>
      </c>
      <c r="AQ168" s="105" t="str">
        <f t="shared" si="60"/>
        <v>0.000001-0.0723738366692429i</v>
      </c>
      <c r="AR168" s="105" t="str">
        <f t="shared" si="61"/>
        <v>0.0243176091208656+81.7071666461082i</v>
      </c>
      <c r="AS168" s="93" t="str">
        <f t="shared" si="70"/>
        <v>19.8528960862747+0.0001i</v>
      </c>
      <c r="AT168" s="87"/>
      <c r="AU168" s="87" t="str">
        <f t="shared" si="62"/>
        <v>0.0243186091208656+81.634792809439i</v>
      </c>
      <c r="AV168" s="87" t="str">
        <f t="shared" si="63"/>
        <v>0.474631340558333+1620.68706110222i</v>
      </c>
      <c r="AW168" s="87" t="str">
        <f t="shared" si="64"/>
        <v>19.8772146953956+81.634892809439i</v>
      </c>
      <c r="AX168" s="87" t="str">
        <f t="shared" si="65"/>
        <v>18.7430674068896+4.55792040328906i</v>
      </c>
      <c r="AY168" s="87" t="str">
        <f t="shared" si="66"/>
        <v>18.7431674068896+3.42434897471763i</v>
      </c>
      <c r="AZ168" s="87">
        <f t="shared" si="67"/>
        <v>33.599999999999937</v>
      </c>
      <c r="BA168" s="87">
        <f t="shared" si="68"/>
        <v>19.05341151456448</v>
      </c>
    </row>
    <row r="169" spans="2:53" x14ac:dyDescent="0.25">
      <c r="B169" s="91" t="s">
        <v>190</v>
      </c>
      <c r="C169" s="87"/>
      <c r="D169" s="92">
        <f>0.05*D30*3</f>
        <v>390.68052930056706</v>
      </c>
      <c r="E169" s="87" t="str">
        <f t="shared" ref="E169:E179" si="71">"Watts, 3-Phase or "&amp;ROUND(D169*3.412141,0)&amp;" BTUs/Hour"</f>
        <v>Watts, 3-Phase or 1333 BTUs/Hour</v>
      </c>
      <c r="F169" s="87"/>
      <c r="G169" s="87"/>
      <c r="H169" s="87"/>
      <c r="I169" s="87"/>
      <c r="J169" s="87"/>
      <c r="K169" s="87"/>
      <c r="L169" s="87"/>
      <c r="AO169" s="87">
        <f t="shared" si="69"/>
        <v>33.79999999999994</v>
      </c>
      <c r="AP169" s="126" t="str">
        <f t="shared" si="59"/>
        <v>0.0001-1.12686390532545i</v>
      </c>
      <c r="AQ169" s="105" t="str">
        <f t="shared" si="60"/>
        <v>0.000001-0.071945589114987i</v>
      </c>
      <c r="AR169" s="105" t="str">
        <f t="shared" si="61"/>
        <v>0.0243176091208656+82.1935188285255i</v>
      </c>
      <c r="AS169" s="93" t="str">
        <f t="shared" si="70"/>
        <v>19.8528960862747+0.0001i</v>
      </c>
      <c r="AT169" s="87"/>
      <c r="AU169" s="87" t="str">
        <f t="shared" si="62"/>
        <v>0.0243186091208656+82.1215732394105i</v>
      </c>
      <c r="AV169" s="87" t="str">
        <f t="shared" si="63"/>
        <v>0.474582662515336+1630.35106239527i</v>
      </c>
      <c r="AW169" s="87" t="str">
        <f t="shared" si="64"/>
        <v>19.8772146953956+82.1216732394105i</v>
      </c>
      <c r="AX169" s="87" t="str">
        <f t="shared" si="65"/>
        <v>18.755459266146+4.53390308787244i</v>
      </c>
      <c r="AY169" s="87" t="str">
        <f t="shared" si="66"/>
        <v>18.755559266146+3.40703918254699i</v>
      </c>
      <c r="AZ169" s="87">
        <f t="shared" si="67"/>
        <v>33.79999999999994</v>
      </c>
      <c r="BA169" s="87">
        <f t="shared" si="68"/>
        <v>19.06250034432329</v>
      </c>
    </row>
    <row r="170" spans="2:53" x14ac:dyDescent="0.25">
      <c r="B170" s="99" t="s">
        <v>188</v>
      </c>
      <c r="C170" s="87"/>
      <c r="D170" s="92">
        <f>(1.8*D34+11)*D31*3</f>
        <v>2200.6873586328225</v>
      </c>
      <c r="E170" s="87" t="str">
        <f t="shared" si="71"/>
        <v>Watts, 3-Phase or 7509 BTUs/Hour</v>
      </c>
      <c r="F170" s="87"/>
      <c r="G170" s="87"/>
      <c r="H170" s="87" t="s">
        <v>0</v>
      </c>
      <c r="I170" s="87"/>
      <c r="J170" s="106"/>
      <c r="K170" s="105"/>
      <c r="L170" s="87"/>
      <c r="AO170" s="87">
        <f t="shared" si="69"/>
        <v>33.999999999999943</v>
      </c>
      <c r="AP170" s="126" t="str">
        <f t="shared" si="59"/>
        <v>0.0001-1.12023529411765i</v>
      </c>
      <c r="AQ170" s="105" t="str">
        <f t="shared" si="60"/>
        <v>0.000001-0.0715223797672518i</v>
      </c>
      <c r="AR170" s="105" t="str">
        <f t="shared" si="61"/>
        <v>0.0243176091208656+82.6798710109428i</v>
      </c>
      <c r="AS170" s="93" t="str">
        <f t="shared" si="70"/>
        <v>19.8528960862747+0.0001i</v>
      </c>
      <c r="AT170" s="87"/>
      <c r="AU170" s="87" t="str">
        <f t="shared" si="62"/>
        <v>0.0243186091208656+82.6083486311756i</v>
      </c>
      <c r="AV170" s="87" t="str">
        <f t="shared" si="63"/>
        <v>0.474533984976159+1640.01496366534i</v>
      </c>
      <c r="AW170" s="87" t="str">
        <f t="shared" si="64"/>
        <v>19.8772146953956+82.6084486311756i</v>
      </c>
      <c r="AX170" s="87" t="str">
        <f t="shared" si="65"/>
        <v>18.7676485719614+4.51012035913031i</v>
      </c>
      <c r="AY170" s="87" t="str">
        <f t="shared" si="66"/>
        <v>18.7677485719614+3.38988506501266i</v>
      </c>
      <c r="AZ170" s="87">
        <f t="shared" si="67"/>
        <v>33.999999999999943</v>
      </c>
      <c r="BA170" s="87">
        <f t="shared" si="68"/>
        <v>19.071436946762951</v>
      </c>
    </row>
    <row r="171" spans="2:53" x14ac:dyDescent="0.25">
      <c r="B171" s="91" t="s">
        <v>187</v>
      </c>
      <c r="C171" s="87"/>
      <c r="D171" s="92">
        <f>(1.8*D54+11)*D51*3</f>
        <v>2233.687358632822</v>
      </c>
      <c r="E171" s="87" t="str">
        <f t="shared" si="71"/>
        <v>Watts, 3-Phase or 7622 BTUs/Hour</v>
      </c>
      <c r="F171" s="87"/>
      <c r="G171" s="87"/>
      <c r="H171" s="87" t="s">
        <v>0</v>
      </c>
      <c r="I171" s="87"/>
      <c r="J171" s="106"/>
      <c r="K171" s="105"/>
      <c r="L171" s="87"/>
      <c r="AO171" s="87">
        <f t="shared" si="69"/>
        <v>34.199999999999946</v>
      </c>
      <c r="AP171" s="126" t="str">
        <f t="shared" si="59"/>
        <v>0.0001-1.11368421052632i</v>
      </c>
      <c r="AQ171" s="105" t="str">
        <f t="shared" si="60"/>
        <v>0.000001-0.0711041202364492i</v>
      </c>
      <c r="AR171" s="105" t="str">
        <f t="shared" si="61"/>
        <v>0.0243176091208656+83.1662231933601i</v>
      </c>
      <c r="AS171" s="93" t="str">
        <f t="shared" si="70"/>
        <v>19.8528960862747+0.0001i</v>
      </c>
      <c r="AT171" s="87"/>
      <c r="AU171" s="87" t="str">
        <f t="shared" si="62"/>
        <v>0.0243186091208656+83.0951190731236i</v>
      </c>
      <c r="AV171" s="87" t="str">
        <f t="shared" si="63"/>
        <v>0.474485307931965+1649.67876666721i</v>
      </c>
      <c r="AW171" s="87" t="str">
        <f t="shared" si="64"/>
        <v>19.8772146953956+83.0952190731236i</v>
      </c>
      <c r="AX171" s="87" t="str">
        <f t="shared" si="65"/>
        <v>18.7796396294101+4.48656911512487i</v>
      </c>
      <c r="AY171" s="87" t="str">
        <f t="shared" si="66"/>
        <v>18.7797396294101+3.37288490459855i</v>
      </c>
      <c r="AZ171" s="87">
        <f t="shared" si="67"/>
        <v>34.199999999999946</v>
      </c>
      <c r="BA171" s="87">
        <f t="shared" si="68"/>
        <v>19.080224661363527</v>
      </c>
    </row>
    <row r="172" spans="2:53" x14ac:dyDescent="0.25">
      <c r="B172" s="81" t="str">
        <f>"High Pass Resistor Losses, "&amp;D11&amp;" Hertz"</f>
        <v>High Pass Resistor Losses, 60 Hertz</v>
      </c>
      <c r="C172" s="87"/>
      <c r="D172" s="25">
        <f>S96*1000*3</f>
        <v>0</v>
      </c>
      <c r="E172" s="87" t="str">
        <f t="shared" si="71"/>
        <v>Watts, 3-Phase or 0 BTUs/Hour</v>
      </c>
      <c r="F172" s="87"/>
      <c r="G172" s="87"/>
      <c r="H172" s="87"/>
      <c r="I172" s="87"/>
      <c r="J172" s="87"/>
      <c r="K172" s="87"/>
      <c r="L172" s="87"/>
      <c r="AO172" s="87">
        <f t="shared" si="69"/>
        <v>34.399999999999949</v>
      </c>
      <c r="AP172" s="126" t="str">
        <f t="shared" si="59"/>
        <v>0.0001-1.10720930232558i</v>
      </c>
      <c r="AQ172" s="105" t="str">
        <f t="shared" si="60"/>
        <v>0.000001-0.0706907241885628i</v>
      </c>
      <c r="AR172" s="105" t="str">
        <f t="shared" si="61"/>
        <v>0.0243176091208656+83.6525753757775i</v>
      </c>
      <c r="AS172" s="93" t="str">
        <f t="shared" si="70"/>
        <v>19.8528960862747+0.0001i</v>
      </c>
      <c r="AT172" s="87"/>
      <c r="AU172" s="87" t="str">
        <f t="shared" si="62"/>
        <v>0.0243186091208656+83.5818846515889i</v>
      </c>
      <c r="AV172" s="87" t="str">
        <f t="shared" si="63"/>
        <v>0.474436631374118+1659.34247311485i</v>
      </c>
      <c r="AW172" s="87" t="str">
        <f t="shared" si="64"/>
        <v>19.8772146953956+83.5819846515889i</v>
      </c>
      <c r="AX172" s="87" t="str">
        <f t="shared" si="65"/>
        <v>18.7914366321743+4.46324629998104i</v>
      </c>
      <c r="AY172" s="87" t="str">
        <f t="shared" si="66"/>
        <v>18.7915366321743+3.35603699765546i</v>
      </c>
      <c r="AZ172" s="87">
        <f t="shared" si="67"/>
        <v>34.399999999999949</v>
      </c>
      <c r="BA172" s="87">
        <f t="shared" si="68"/>
        <v>19.088866737655771</v>
      </c>
    </row>
    <row r="173" spans="2:53" x14ac:dyDescent="0.25">
      <c r="B173" s="91" t="s">
        <v>191</v>
      </c>
      <c r="D173" s="92">
        <f>SUM(T96:AH96)*1000*3</f>
        <v>146937.07411005965</v>
      </c>
      <c r="E173" s="87" t="str">
        <f t="shared" si="71"/>
        <v>Watts, 3-Phase or 501370 BTUs/Hour</v>
      </c>
      <c r="AO173" s="87">
        <f t="shared" si="69"/>
        <v>34.599999999999952</v>
      </c>
      <c r="AP173" s="126" t="str">
        <f t="shared" si="59"/>
        <v>0.0001-1.10080924855492i</v>
      </c>
      <c r="AQ173" s="105" t="str">
        <f t="shared" si="60"/>
        <v>0.000001-0.0702821072857387i</v>
      </c>
      <c r="AR173" s="105" t="str">
        <f t="shared" si="61"/>
        <v>0.0243176091208656+84.1389275581948i</v>
      </c>
      <c r="AS173" s="93" t="str">
        <f t="shared" si="70"/>
        <v>19.8528960862747+0.0001i</v>
      </c>
      <c r="AT173" s="87"/>
      <c r="AU173" s="87" t="str">
        <f t="shared" si="62"/>
        <v>0.0243186091208656+84.0686454509091i</v>
      </c>
      <c r="AV173" s="87" t="str">
        <f t="shared" si="63"/>
        <v>0.474387955294186+1669.00608468263i</v>
      </c>
      <c r="AW173" s="87" t="str">
        <f t="shared" si="64"/>
        <v>19.8772146953956+84.0687454509091i</v>
      </c>
      <c r="AX173" s="87" t="str">
        <f t="shared" si="65"/>
        <v>18.8030436659069+4.44014890333777i</v>
      </c>
      <c r="AY173" s="87" t="str">
        <f t="shared" si="66"/>
        <v>18.8031436659069+3.33933965478285i</v>
      </c>
      <c r="AZ173" s="87">
        <f t="shared" si="67"/>
        <v>34.599999999999952</v>
      </c>
      <c r="BA173" s="87">
        <f t="shared" si="68"/>
        <v>19.097366338077617</v>
      </c>
    </row>
    <row r="174" spans="2:53" x14ac:dyDescent="0.25">
      <c r="B174" s="81" t="str">
        <f>"Iron-Core Reactor Losses, "&amp;D11&amp;" Hertz"</f>
        <v>Iron-Core Reactor Losses, 60 Hertz</v>
      </c>
      <c r="D174" s="92">
        <f>3*S101</f>
        <v>3199.8657483372235</v>
      </c>
      <c r="E174" s="87" t="str">
        <f t="shared" si="71"/>
        <v>Watts, 3-Phase or 10918 BTUs/Hour</v>
      </c>
      <c r="AO174" s="87">
        <f t="shared" si="69"/>
        <v>34.799999999999955</v>
      </c>
      <c r="AP174" s="126" t="str">
        <f t="shared" si="59"/>
        <v>0.0001-1.09448275862069i</v>
      </c>
      <c r="AQ174" s="105" t="str">
        <f t="shared" si="60"/>
        <v>0.000001-0.0698781871289242i</v>
      </c>
      <c r="AR174" s="105" t="str">
        <f t="shared" si="61"/>
        <v>0.0243176091208656+84.6252797406121i</v>
      </c>
      <c r="AS174" s="93" t="str">
        <f t="shared" si="70"/>
        <v>19.8528960862747+0.0001i</v>
      </c>
      <c r="AT174" s="87"/>
      <c r="AU174" s="87" t="str">
        <f t="shared" si="62"/>
        <v>0.0243186091208656+84.5554015534832i</v>
      </c>
      <c r="AV174" s="87" t="str">
        <f t="shared" si="63"/>
        <v>0.474339279683929+1678.66960300639i</v>
      </c>
      <c r="AW174" s="87" t="str">
        <f t="shared" si="64"/>
        <v>19.8772146953956+84.5555015534832i</v>
      </c>
      <c r="AX174" s="87" t="str">
        <f t="shared" si="65"/>
        <v>18.8144647114769+4.41727395979121i</v>
      </c>
      <c r="AY174" s="87" t="str">
        <f t="shared" si="66"/>
        <v>18.8145647114769+3.32279120117052i</v>
      </c>
      <c r="AZ174" s="87">
        <f t="shared" si="67"/>
        <v>34.799999999999955</v>
      </c>
      <c r="BA174" s="87">
        <f t="shared" si="68"/>
        <v>19.105726540724067</v>
      </c>
    </row>
    <row r="175" spans="2:53" ht="15.75" thickBot="1" x14ac:dyDescent="0.3">
      <c r="B175" s="91" t="s">
        <v>193</v>
      </c>
      <c r="D175" s="182">
        <f>3*SUM(T101:AH101)</f>
        <v>520.65723656012449</v>
      </c>
      <c r="E175" s="87" t="str">
        <f t="shared" si="71"/>
        <v>Watts, 3-Phase or 1777 BTUs/Hour</v>
      </c>
      <c r="AO175" s="87">
        <f t="shared" si="69"/>
        <v>34.999999999999957</v>
      </c>
      <c r="AP175" s="126" t="str">
        <f t="shared" si="59"/>
        <v>0.0001-1.08822857142857i</v>
      </c>
      <c r="AQ175" s="105" t="str">
        <f t="shared" si="60"/>
        <v>0.000001-0.0694788832024732i</v>
      </c>
      <c r="AR175" s="105" t="str">
        <f t="shared" si="61"/>
        <v>0.0243176091208656+85.1116319230294i</v>
      </c>
      <c r="AS175" s="93" t="str">
        <f t="shared" si="70"/>
        <v>19.8528960862747+0.0001i</v>
      </c>
      <c r="AT175" s="87"/>
      <c r="AU175" s="87" t="str">
        <f t="shared" si="62"/>
        <v>0.0243186091208656+85.0421530398269i</v>
      </c>
      <c r="AV175" s="87" t="str">
        <f t="shared" si="63"/>
        <v>0.474290604535294+1688.33302968461i</v>
      </c>
      <c r="AW175" s="87" t="str">
        <f t="shared" si="64"/>
        <v>19.8772146953956+85.0422530398269i</v>
      </c>
      <c r="AX175" s="87" t="str">
        <f t="shared" si="65"/>
        <v>18.8257036481063+4.39461854833199i</v>
      </c>
      <c r="AY175" s="87" t="str">
        <f t="shared" si="66"/>
        <v>18.8258036481063+3.30638997690342i</v>
      </c>
      <c r="AZ175" s="87">
        <f t="shared" si="67"/>
        <v>34.999999999999957</v>
      </c>
      <c r="BA175" s="87">
        <f t="shared" si="68"/>
        <v>19.113950341999423</v>
      </c>
    </row>
    <row r="176" spans="2:53" ht="15.75" thickTop="1" x14ac:dyDescent="0.25">
      <c r="E176" s="87" t="s">
        <v>0</v>
      </c>
      <c r="AO176" s="87">
        <f t="shared" si="69"/>
        <v>35.19999999999996</v>
      </c>
      <c r="AP176" s="126" t="str">
        <f t="shared" si="59"/>
        <v>0.0001-1.08204545454546i</v>
      </c>
      <c r="AQ176" s="105" t="str">
        <f t="shared" si="60"/>
        <v>0.000001-0.0690841168206409i</v>
      </c>
      <c r="AR176" s="105" t="str">
        <f t="shared" si="61"/>
        <v>0.0243176091208656+85.5979841054467i</v>
      </c>
      <c r="AS176" s="93" t="str">
        <f t="shared" si="70"/>
        <v>19.8528960862747+0.0001i</v>
      </c>
      <c r="AT176" s="87"/>
      <c r="AU176" s="87" t="str">
        <f t="shared" si="62"/>
        <v>0.0243186091208656+85.5288999886261i</v>
      </c>
      <c r="AV176" s="87" t="str">
        <f t="shared" si="63"/>
        <v>0.474241929840414+1697.99636627944i</v>
      </c>
      <c r="AW176" s="87" t="str">
        <f t="shared" si="64"/>
        <v>19.8772146953956+85.5289999886261i</v>
      </c>
      <c r="AX176" s="87" t="str">
        <f t="shared" si="65"/>
        <v>18.8367642564003+4.37217979177719i</v>
      </c>
      <c r="AY176" s="87" t="str">
        <f t="shared" si="66"/>
        <v>18.8368642564003+3.29013433723173i</v>
      </c>
      <c r="AZ176" s="87">
        <f t="shared" si="67"/>
        <v>35.19999999999996</v>
      </c>
      <c r="BA176" s="87">
        <f t="shared" si="68"/>
        <v>19.122040659173447</v>
      </c>
    </row>
    <row r="177" spans="2:53" x14ac:dyDescent="0.25">
      <c r="B177" s="91" t="str">
        <f>"Total "&amp;D11&amp;" Hz Losses "</f>
        <v xml:space="preserve">Total 60 Hz Losses </v>
      </c>
      <c r="D177" s="92">
        <f>SUM(D168:D172)+SUM(D174)</f>
        <v>8086.6046905556095</v>
      </c>
      <c r="E177" s="87" t="str">
        <f t="shared" si="71"/>
        <v>Watts, 3-Phase or 27593 BTUs/Hour</v>
      </c>
      <c r="AO177" s="87">
        <f t="shared" si="69"/>
        <v>35.399999999999963</v>
      </c>
      <c r="AP177" s="126" t="str">
        <f t="shared" si="59"/>
        <v>0.0001-1.07593220338983i</v>
      </c>
      <c r="AQ177" s="105" t="str">
        <f t="shared" si="60"/>
        <v>0.000001-0.0686938110758915i</v>
      </c>
      <c r="AR177" s="105" t="str">
        <f t="shared" si="61"/>
        <v>0.0243176091208656+86.084336287864i</v>
      </c>
      <c r="AS177" s="93" t="str">
        <f t="shared" si="70"/>
        <v>19.8528960862747+0.0001i</v>
      </c>
      <c r="AT177" s="87"/>
      <c r="AU177" s="87" t="str">
        <f t="shared" si="62"/>
        <v>0.0243186091208656+86.0156424767881i</v>
      </c>
      <c r="AV177" s="87" t="str">
        <f t="shared" si="63"/>
        <v>0.474193255591598+1707.65961431769i</v>
      </c>
      <c r="AW177" s="87" t="str">
        <f t="shared" si="64"/>
        <v>19.8772146953956+86.0157424767881i</v>
      </c>
      <c r="AX177" s="87" t="str">
        <f t="shared" si="65"/>
        <v>18.8476502212749+4.34995485619833i</v>
      </c>
      <c r="AY177" s="87" t="str">
        <f t="shared" si="66"/>
        <v>18.8477502212749+3.2740226528085i</v>
      </c>
      <c r="AZ177" s="87">
        <f t="shared" si="67"/>
        <v>35.399999999999963</v>
      </c>
      <c r="BA177" s="87">
        <f t="shared" si="68"/>
        <v>19.130000332845562</v>
      </c>
    </row>
    <row r="178" spans="2:53" ht="15.75" thickBot="1" x14ac:dyDescent="0.3">
      <c r="B178" s="91" t="s">
        <v>194</v>
      </c>
      <c r="D178" s="182">
        <f>D175+D173</f>
        <v>147457.73134661978</v>
      </c>
      <c r="E178" s="87" t="str">
        <f t="shared" si="71"/>
        <v>Watts, 3-Phase or 503147 BTUs/Hour</v>
      </c>
      <c r="AO178" s="87">
        <f t="shared" si="69"/>
        <v>35.599999999999966</v>
      </c>
      <c r="AP178" s="126" t="str">
        <f t="shared" si="59"/>
        <v>0.0001-1.06988764044944i</v>
      </c>
      <c r="AQ178" s="105" t="str">
        <f t="shared" si="60"/>
        <v>0.000001-0.0683078907889483i</v>
      </c>
      <c r="AR178" s="105" t="str">
        <f t="shared" si="61"/>
        <v>0.0243176091208656+86.5706884702814i</v>
      </c>
      <c r="AS178" s="93" t="str">
        <f t="shared" si="70"/>
        <v>19.8528960862747+0.0001i</v>
      </c>
      <c r="AT178" s="87"/>
      <c r="AU178" s="87" t="str">
        <f t="shared" si="62"/>
        <v>0.0243186091208656+86.5023805794925i</v>
      </c>
      <c r="AV178" s="87" t="str">
        <f t="shared" si="63"/>
        <v>0.474144581781328+1717.32277529191i</v>
      </c>
      <c r="AW178" s="87" t="str">
        <f t="shared" si="64"/>
        <v>19.8772146953956+86.5024805794925i</v>
      </c>
      <c r="AX178" s="87" t="str">
        <f t="shared" si="65"/>
        <v>18.8583651347868+4.32794095034652i</v>
      </c>
      <c r="AY178" s="87" t="str">
        <f t="shared" si="66"/>
        <v>18.8584651347868+3.25805330989708i</v>
      </c>
      <c r="AZ178" s="87">
        <f t="shared" si="67"/>
        <v>35.599999999999966</v>
      </c>
      <c r="BA178" s="87">
        <f t="shared" si="68"/>
        <v>19.137832129321772</v>
      </c>
    </row>
    <row r="179" spans="2:53" ht="15.75" thickTop="1" x14ac:dyDescent="0.25">
      <c r="B179" s="183" t="s">
        <v>195</v>
      </c>
      <c r="C179" s="96"/>
      <c r="D179" s="184">
        <f>SUM(D177:D178)</f>
        <v>155544.33603717538</v>
      </c>
      <c r="E179" s="96" t="str">
        <f t="shared" si="71"/>
        <v>Watts, 3-Phase or 530739 BTUs/Hour</v>
      </c>
      <c r="F179" s="96"/>
      <c r="G179" s="96"/>
      <c r="H179" s="96"/>
      <c r="I179" s="96"/>
      <c r="J179" s="96"/>
      <c r="K179" s="96"/>
      <c r="L179" s="96"/>
      <c r="AO179" s="87">
        <f t="shared" si="69"/>
        <v>35.799999999999969</v>
      </c>
      <c r="AP179" s="126" t="str">
        <f t="shared" si="59"/>
        <v>0.0001-1.06391061452514i</v>
      </c>
      <c r="AQ179" s="105" t="str">
        <f t="shared" si="60"/>
        <v>0.000001-0.0679262824605184i</v>
      </c>
      <c r="AR179" s="105" t="str">
        <f t="shared" si="61"/>
        <v>0.0243176091208656+87.0570406526987i</v>
      </c>
      <c r="AS179" s="93" t="str">
        <f t="shared" si="70"/>
        <v>19.8528960862747+0.0001i</v>
      </c>
      <c r="AT179" s="87"/>
      <c r="AU179" s="87" t="str">
        <f t="shared" si="62"/>
        <v>0.0243186091208656+86.9891143702382i</v>
      </c>
      <c r="AV179" s="87" t="str">
        <f t="shared" si="63"/>
        <v>0.474095908402253+1726.98585066126i</v>
      </c>
      <c r="AW179" s="87" t="str">
        <f t="shared" si="64"/>
        <v>19.8772146953956+86.9892143702382i</v>
      </c>
      <c r="AX179" s="87" t="str">
        <f t="shared" si="65"/>
        <v>18.8689124988682+4.30613532507534i</v>
      </c>
      <c r="AY179" s="87" t="str">
        <f t="shared" si="66"/>
        <v>18.8690124988682+3.2422247105502i</v>
      </c>
      <c r="AZ179" s="87">
        <f t="shared" si="67"/>
        <v>35.799999999999969</v>
      </c>
      <c r="BA179" s="87">
        <f t="shared" si="68"/>
        <v>19.145538742906837</v>
      </c>
    </row>
    <row r="180" spans="2:53" x14ac:dyDescent="0.25">
      <c r="AO180" s="87">
        <f t="shared" si="69"/>
        <v>35.999999999999972</v>
      </c>
      <c r="AP180" s="126" t="str">
        <f t="shared" si="59"/>
        <v>0.0001-1.058i</v>
      </c>
      <c r="AQ180" s="105" t="str">
        <f t="shared" si="60"/>
        <v>0.000001-0.0675489142246267i</v>
      </c>
      <c r="AR180" s="105" t="str">
        <f t="shared" si="61"/>
        <v>0.0243176091208656+87.543392835116i</v>
      </c>
      <c r="AS180" s="93" t="str">
        <f t="shared" si="70"/>
        <v>19.8528960862747+0.0001i</v>
      </c>
      <c r="AT180" s="87"/>
      <c r="AU180" s="87" t="str">
        <f t="shared" si="62"/>
        <v>0.0243186091208656+87.4758439208914i</v>
      </c>
      <c r="AV180" s="87" t="str">
        <f t="shared" si="63"/>
        <v>0.474047235447188+1736.6488418525i</v>
      </c>
      <c r="AW180" s="87" t="str">
        <f t="shared" si="64"/>
        <v>19.8772146953956+87.4759439208914i</v>
      </c>
      <c r="AX180" s="87" t="str">
        <f t="shared" si="65"/>
        <v>18.8792957279697+4.2845352727627i</v>
      </c>
      <c r="AY180" s="87" t="str">
        <f t="shared" si="66"/>
        <v>18.8793957279697+3.2265352727627i</v>
      </c>
      <c r="AZ180" s="87">
        <f t="shared" si="67"/>
        <v>35.999999999999972</v>
      </c>
      <c r="BA180" s="87">
        <f t="shared" si="68"/>
        <v>19.153122798114737</v>
      </c>
    </row>
    <row r="181" spans="2:53" x14ac:dyDescent="0.25">
      <c r="AO181" s="87">
        <f t="shared" si="69"/>
        <v>36.199999999999974</v>
      </c>
      <c r="AP181" s="126" t="str">
        <f t="shared" si="59"/>
        <v>0.0001-1.0521546961326i</v>
      </c>
      <c r="AQ181" s="105" t="str">
        <f t="shared" si="60"/>
        <v>0.000001-0.0671757158034961i</v>
      </c>
      <c r="AR181" s="105" t="str">
        <f t="shared" si="61"/>
        <v>0.0243176091208656+88.0297450175333i</v>
      </c>
      <c r="AS181" s="93" t="str">
        <f t="shared" si="70"/>
        <v>19.8528960862747+0.0001i</v>
      </c>
      <c r="AT181" s="87"/>
      <c r="AU181" s="87" t="str">
        <f t="shared" si="62"/>
        <v>0.0243186091208656+87.9625693017298i</v>
      </c>
      <c r="AV181" s="87" t="str">
        <f t="shared" si="63"/>
        <v>0.473998562909104+1746.31175026084i</v>
      </c>
      <c r="AW181" s="87" t="str">
        <f t="shared" si="64"/>
        <v>19.8772146953956+87.9626693017298i</v>
      </c>
      <c r="AX181" s="87" t="str">
        <f t="shared" si="65"/>
        <v>18.8895181516164+4.26313812673223i</v>
      </c>
      <c r="AY181" s="87" t="str">
        <f t="shared" si="66"/>
        <v>18.8896181516164+3.21098343059963i</v>
      </c>
      <c r="AZ181" s="87">
        <f t="shared" si="67"/>
        <v>36.199999999999974</v>
      </c>
      <c r="BA181" s="87">
        <f t="shared" si="68"/>
        <v>19.16058685180235</v>
      </c>
    </row>
    <row r="182" spans="2:53" x14ac:dyDescent="0.25">
      <c r="AO182" s="87">
        <f t="shared" si="69"/>
        <v>36.399999999999977</v>
      </c>
      <c r="AP182" s="126" t="str">
        <f t="shared" si="59"/>
        <v>0.0001-1.04637362637363i</v>
      </c>
      <c r="AQ182" s="105" t="str">
        <f t="shared" si="60"/>
        <v>0.000001-0.0668066184639165i</v>
      </c>
      <c r="AR182" s="105" t="str">
        <f t="shared" si="61"/>
        <v>0.0243176091208656+88.5160971999506i</v>
      </c>
      <c r="AS182" s="93" t="str">
        <f t="shared" si="70"/>
        <v>19.8528960862747+0.0001i</v>
      </c>
      <c r="AT182" s="87"/>
      <c r="AU182" s="87" t="str">
        <f t="shared" si="62"/>
        <v>0.0243186091208656+88.4492905814867i</v>
      </c>
      <c r="AV182" s="87" t="str">
        <f t="shared" si="63"/>
        <v>0.473949890781128+1755.97457725083i</v>
      </c>
      <c r="AW182" s="87" t="str">
        <f t="shared" si="64"/>
        <v>19.8772146953956+88.4493905814867i</v>
      </c>
      <c r="AX182" s="87" t="str">
        <f t="shared" si="65"/>
        <v>18.8995830168787+4.24194126067502i</v>
      </c>
      <c r="AY182" s="87" t="str">
        <f t="shared" si="66"/>
        <v>18.8996830168787+3.19556763430139i</v>
      </c>
      <c r="AZ182" s="87">
        <f t="shared" si="67"/>
        <v>36.399999999999977</v>
      </c>
      <c r="BA182" s="87">
        <f t="shared" si="68"/>
        <v>19.167933395227763</v>
      </c>
    </row>
    <row r="183" spans="2:53" x14ac:dyDescent="0.25">
      <c r="AO183" s="87">
        <f t="shared" si="69"/>
        <v>36.59999999999998</v>
      </c>
      <c r="AP183" s="126" t="str">
        <f t="shared" si="59"/>
        <v>0.0001-1.04065573770492i</v>
      </c>
      <c r="AQ183" s="105" t="str">
        <f t="shared" si="60"/>
        <v>0.000001-0.0664415549750426i</v>
      </c>
      <c r="AR183" s="105" t="str">
        <f t="shared" si="61"/>
        <v>0.0243176091208656+89.002449382368i</v>
      </c>
      <c r="AS183" s="93" t="str">
        <f t="shared" si="70"/>
        <v>19.8528960862747+0.0001i</v>
      </c>
      <c r="AT183" s="87"/>
      <c r="AU183" s="87" t="str">
        <f t="shared" si="62"/>
        <v>0.0243186091208656+88.936007827393i</v>
      </c>
      <c r="AV183" s="87" t="str">
        <f t="shared" si="63"/>
        <v>0.473901219056538+1765.63732415721i</v>
      </c>
      <c r="AW183" s="87" t="str">
        <f t="shared" si="64"/>
        <v>19.8772146953956+88.936107827393i</v>
      </c>
      <c r="AX183" s="87" t="str">
        <f t="shared" si="65"/>
        <v>18.9094934907616+4.22094208807251i</v>
      </c>
      <c r="AY183" s="87" t="str">
        <f t="shared" si="66"/>
        <v>18.9095934907616+3.18028635036759i</v>
      </c>
      <c r="AZ183" s="87">
        <f t="shared" si="67"/>
        <v>36.59999999999998</v>
      </c>
      <c r="BA183" s="87">
        <f t="shared" si="68"/>
        <v>19.175164856036776</v>
      </c>
    </row>
    <row r="184" spans="2:53" x14ac:dyDescent="0.25">
      <c r="AO184" s="87">
        <f t="shared" si="69"/>
        <v>36.799999999999983</v>
      </c>
      <c r="AP184" s="126" t="str">
        <f t="shared" si="59"/>
        <v>0.0001-1.035i</v>
      </c>
      <c r="AQ184" s="105" t="str">
        <f t="shared" si="60"/>
        <v>0.000001-0.0660804595675695i</v>
      </c>
      <c r="AR184" s="105" t="str">
        <f t="shared" si="61"/>
        <v>0.0243176091208656+89.4888015647853i</v>
      </c>
      <c r="AS184" s="93" t="str">
        <f t="shared" si="70"/>
        <v>19.8528960862747+0.0001i</v>
      </c>
      <c r="AT184" s="87"/>
      <c r="AU184" s="87" t="str">
        <f t="shared" si="62"/>
        <v>0.0243186091208656+89.4227211052177i</v>
      </c>
      <c r="AV184" s="87" t="str">
        <f t="shared" si="63"/>
        <v>0.473852547728755+1775.29999228567i</v>
      </c>
      <c r="AW184" s="87" t="str">
        <f t="shared" si="64"/>
        <v>19.8772146953956+89.4228211052177i</v>
      </c>
      <c r="AX184" s="87" t="str">
        <f t="shared" si="65"/>
        <v>18.9192526625154+4.20013806162072i</v>
      </c>
      <c r="AY184" s="87" t="str">
        <f t="shared" si="66"/>
        <v>18.9193526625154+3.16513806162072i</v>
      </c>
      <c r="AZ184" s="87">
        <f t="shared" si="67"/>
        <v>36.799999999999983</v>
      </c>
      <c r="BA184" s="87">
        <f t="shared" si="68"/>
        <v>19.182283600180366</v>
      </c>
    </row>
    <row r="185" spans="2:53" x14ac:dyDescent="0.25">
      <c r="AO185" s="87">
        <f t="shared" si="69"/>
        <v>36.999999999999986</v>
      </c>
      <c r="AP185" s="126" t="str">
        <f t="shared" si="59"/>
        <v>0.0001-1.02940540540541i</v>
      </c>
      <c r="AQ185" s="105" t="str">
        <f t="shared" si="60"/>
        <v>0.000001-0.0657232678942313i</v>
      </c>
      <c r="AR185" s="105" t="str">
        <f t="shared" si="61"/>
        <v>0.0243176091208656+89.9751537472026i</v>
      </c>
      <c r="AS185" s="93" t="str">
        <f t="shared" si="70"/>
        <v>19.8528960862747+0.0001i</v>
      </c>
      <c r="AT185" s="87"/>
      <c r="AU185" s="87" t="str">
        <f t="shared" si="62"/>
        <v>0.0243186091208656+89.9094304793084i</v>
      </c>
      <c r="AV185" s="87" t="str">
        <f t="shared" si="63"/>
        <v>0.473803876791346+1784.96258291371i</v>
      </c>
      <c r="AW185" s="87" t="str">
        <f t="shared" si="64"/>
        <v>19.8772146953956+89.9095304793084i</v>
      </c>
      <c r="AX185" s="87" t="str">
        <f t="shared" si="65"/>
        <v>18.9288635458712+4.179526672657i</v>
      </c>
      <c r="AY185" s="87" t="str">
        <f t="shared" si="66"/>
        <v>18.9289635458712+3.15012126725159i</v>
      </c>
      <c r="AZ185" s="87">
        <f t="shared" si="67"/>
        <v>36.999999999999986</v>
      </c>
      <c r="BA185" s="87">
        <f t="shared" si="68"/>
        <v>19.189291933766381</v>
      </c>
    </row>
    <row r="186" spans="2:53" x14ac:dyDescent="0.25">
      <c r="AO186" s="87">
        <f t="shared" si="69"/>
        <v>37.199999999999989</v>
      </c>
      <c r="AP186" s="126" t="str">
        <f t="shared" si="59"/>
        <v>0.0001-1.02387096774194i</v>
      </c>
      <c r="AQ186" s="105" t="str">
        <f t="shared" si="60"/>
        <v>0.000001-0.0653699169915741i</v>
      </c>
      <c r="AR186" s="105" t="str">
        <f t="shared" si="61"/>
        <v>0.0243176091208656+90.4615059296199i</v>
      </c>
      <c r="AS186" s="93" t="str">
        <f t="shared" si="70"/>
        <v>19.8528960862747+0.0001i</v>
      </c>
      <c r="AT186" s="87"/>
      <c r="AU186" s="87" t="str">
        <f t="shared" si="62"/>
        <v>0.0243186091208656+90.3961360126283i</v>
      </c>
      <c r="AV186" s="87" t="str">
        <f t="shared" si="63"/>
        <v>0.473755206238014+1794.62509729132i</v>
      </c>
      <c r="AW186" s="87" t="str">
        <f t="shared" si="64"/>
        <v>19.8772146953956+90.3962360126283i</v>
      </c>
      <c r="AX186" s="87" t="str">
        <f t="shared" si="65"/>
        <v>18.9383290812021+4.15910545058921i</v>
      </c>
      <c r="AY186" s="87" t="str">
        <f t="shared" si="66"/>
        <v>18.9384290812021+3.13523448284727i</v>
      </c>
      <c r="AZ186" s="87">
        <f t="shared" si="67"/>
        <v>37.199999999999989</v>
      </c>
      <c r="BA186" s="87">
        <f t="shared" si="68"/>
        <v>19.196192104846105</v>
      </c>
    </row>
    <row r="187" spans="2:53" x14ac:dyDescent="0.25">
      <c r="AO187" s="87">
        <f t="shared" si="69"/>
        <v>37.399999999999991</v>
      </c>
      <c r="AP187" s="126" t="str">
        <f t="shared" si="59"/>
        <v>0.0001-1.01839572192513i</v>
      </c>
      <c r="AQ187" s="105" t="str">
        <f t="shared" si="60"/>
        <v>0.000001-0.0650203452429561i</v>
      </c>
      <c r="AR187" s="105" t="str">
        <f t="shared" si="61"/>
        <v>0.0243176091208656+90.9478581120372i</v>
      </c>
      <c r="AS187" s="93" t="str">
        <f t="shared" si="70"/>
        <v>19.8528960862747+0.0001i</v>
      </c>
      <c r="AT187" s="87"/>
      <c r="AU187" s="87" t="str">
        <f t="shared" si="62"/>
        <v>0.0243186091208656+90.8828377667942i</v>
      </c>
      <c r="AV187" s="87" t="str">
        <f t="shared" si="63"/>
        <v>0.473706536062597+1804.28753664179i</v>
      </c>
      <c r="AW187" s="87" t="str">
        <f t="shared" si="64"/>
        <v>19.8772146953956+90.8829377667942i</v>
      </c>
      <c r="AX187" s="87" t="str">
        <f t="shared" si="65"/>
        <v>18.9476521376162+4.13887196232823i</v>
      </c>
      <c r="AY187" s="87" t="str">
        <f t="shared" si="66"/>
        <v>18.9477521376162+3.1204762404031i</v>
      </c>
      <c r="AZ187" s="87">
        <f t="shared" si="67"/>
        <v>37.399999999999991</v>
      </c>
      <c r="BA187" s="87">
        <f t="shared" si="68"/>
        <v>19.202986305141696</v>
      </c>
    </row>
    <row r="188" spans="2:53" x14ac:dyDescent="0.25">
      <c r="AO188" s="87">
        <f t="shared" si="69"/>
        <v>37.599999999999994</v>
      </c>
      <c r="AP188" s="126" t="str">
        <f t="shared" si="59"/>
        <v>0.0001-1.01297872340426i</v>
      </c>
      <c r="AQ188" s="105" t="str">
        <f t="shared" si="60"/>
        <v>0.000001-0.0646744923427276i</v>
      </c>
      <c r="AR188" s="105" t="str">
        <f t="shared" si="61"/>
        <v>0.0243176091208656+91.4342102944545i</v>
      </c>
      <c r="AS188" s="93" t="str">
        <f t="shared" si="70"/>
        <v>19.8528960862747+0.0001i</v>
      </c>
      <c r="AT188" s="87"/>
      <c r="AU188" s="87" t="str">
        <f t="shared" si="62"/>
        <v>0.0243186091208656+91.3695358021118i</v>
      </c>
      <c r="AV188" s="87" t="str">
        <f t="shared" si="63"/>
        <v>0.473657866259066+1813.94990216234i</v>
      </c>
      <c r="AW188" s="87" t="str">
        <f t="shared" si="64"/>
        <v>19.8772146953956+91.3696358021118i</v>
      </c>
      <c r="AX188" s="87" t="str">
        <f t="shared" si="65"/>
        <v>18.9568355149793+4.11882381172396i</v>
      </c>
      <c r="AY188" s="87" t="str">
        <f t="shared" si="66"/>
        <v>18.9569355149793+3.1058450883197i</v>
      </c>
      <c r="AZ188" s="87">
        <f t="shared" si="67"/>
        <v>37.599999999999994</v>
      </c>
      <c r="BA188" s="87">
        <f t="shared" si="68"/>
        <v>19.209676671712181</v>
      </c>
    </row>
    <row r="189" spans="2:53" x14ac:dyDescent="0.25">
      <c r="AO189" s="87">
        <f t="shared" ref="AO189:AO244" si="72">AO188+0.2</f>
        <v>37.799999999999997</v>
      </c>
      <c r="AP189" s="126" t="str">
        <f t="shared" si="59"/>
        <v>0.0001-1.00761904761905i</v>
      </c>
      <c r="AQ189" s="105" t="str">
        <f t="shared" si="60"/>
        <v>0.000001-0.0643322992615492i</v>
      </c>
      <c r="AR189" s="105" t="str">
        <f t="shared" si="61"/>
        <v>0.0243176091208656+91.9205624768719i</v>
      </c>
      <c r="AS189" s="93" t="str">
        <f t="shared" si="70"/>
        <v>19.8528960862747+0.0001i</v>
      </c>
      <c r="AT189" s="87"/>
      <c r="AU189" s="87" t="str">
        <f t="shared" si="62"/>
        <v>0.0243186091208656+91.8562301776103i</v>
      </c>
      <c r="AV189" s="87" t="str">
        <f t="shared" si="63"/>
        <v>0.473609196821516+1823.61219502489i</v>
      </c>
      <c r="AW189" s="87" t="str">
        <f t="shared" si="64"/>
        <v>19.8772146953956+91.8563301776103i</v>
      </c>
      <c r="AX189" s="87" t="str">
        <f t="shared" si="65"/>
        <v>18.9658819458746+4.09895863900547i</v>
      </c>
      <c r="AY189" s="87" t="str">
        <f t="shared" si="66"/>
        <v>18.9659819458746+3.09133959138642i</v>
      </c>
      <c r="AZ189" s="87">
        <f t="shared" si="67"/>
        <v>37.799999999999997</v>
      </c>
      <c r="BA189" s="87">
        <f t="shared" si="68"/>
        <v>19.216265288565165</v>
      </c>
    </row>
    <row r="190" spans="2:53" x14ac:dyDescent="0.25">
      <c r="AO190" s="87">
        <f t="shared" si="72"/>
        <v>38</v>
      </c>
      <c r="AP190" s="126" t="str">
        <f t="shared" si="59"/>
        <v>0.0001-1.00231578947368i</v>
      </c>
      <c r="AQ190" s="105" t="str">
        <f t="shared" si="60"/>
        <v>0.000001-0.0639937082128041i</v>
      </c>
      <c r="AR190" s="105" t="str">
        <f t="shared" si="61"/>
        <v>0.0243176091208656+92.4069146592892i</v>
      </c>
      <c r="AS190" s="93" t="str">
        <f t="shared" si="70"/>
        <v>19.8528960862747+0.0001i</v>
      </c>
      <c r="AT190" s="87"/>
      <c r="AU190" s="87" t="str">
        <f t="shared" si="62"/>
        <v>0.0243186091208656+92.3429209510764i</v>
      </c>
      <c r="AV190" s="87" t="str">
        <f t="shared" si="63"/>
        <v>0.473560527744169+1833.27441637666i</v>
      </c>
      <c r="AW190" s="87" t="str">
        <f t="shared" si="64"/>
        <v>19.8772146953956+92.3430209510764i</v>
      </c>
      <c r="AX190" s="87" t="str">
        <f t="shared" si="65"/>
        <v>18.9747940974975+4.07927412022519i</v>
      </c>
      <c r="AY190" s="87" t="str">
        <f t="shared" si="66"/>
        <v>18.9748940974975+3.07695833075151i</v>
      </c>
      <c r="AZ190" s="87">
        <f t="shared" si="67"/>
        <v>38</v>
      </c>
      <c r="BA190" s="87">
        <f t="shared" si="68"/>
        <v>19.222754188212122</v>
      </c>
    </row>
    <row r="191" spans="2:53" x14ac:dyDescent="0.25">
      <c r="AO191" s="87">
        <f t="shared" si="72"/>
        <v>38.200000000000003</v>
      </c>
      <c r="AP191" s="126" t="str">
        <f t="shared" si="59"/>
        <v>0.0001-0.997068062827225i</v>
      </c>
      <c r="AQ191" s="105" t="str">
        <f t="shared" si="60"/>
        <v>0.000001-0.0636586626200669i</v>
      </c>
      <c r="AR191" s="105" t="str">
        <f t="shared" si="61"/>
        <v>0.0243176091208656+92.8932668417065i</v>
      </c>
      <c r="AS191" s="93" t="str">
        <f t="shared" si="70"/>
        <v>19.8528960862747+0.0001i</v>
      </c>
      <c r="AT191" s="87"/>
      <c r="AU191" s="87" t="str">
        <f t="shared" si="62"/>
        <v>0.0243186091208656+92.8296081790864i</v>
      </c>
      <c r="AV191" s="87" t="str">
        <f t="shared" si="63"/>
        <v>0.473511859021368+1842.93656734086i</v>
      </c>
      <c r="AW191" s="87" t="str">
        <f t="shared" si="64"/>
        <v>19.8772146953956+92.8297081790864i</v>
      </c>
      <c r="AX191" s="87" t="str">
        <f t="shared" si="65"/>
        <v>18.9835745734912+4.05976796670811i</v>
      </c>
      <c r="AY191" s="87" t="str">
        <f t="shared" si="66"/>
        <v>18.9836745734912+3.06269990388089i</v>
      </c>
      <c r="AZ191" s="87">
        <f t="shared" si="67"/>
        <v>38.200000000000003</v>
      </c>
      <c r="BA191" s="87">
        <f t="shared" si="68"/>
        <v>19.229145353172832</v>
      </c>
    </row>
    <row r="192" spans="2:53" x14ac:dyDescent="0.25">
      <c r="AO192" s="87">
        <f t="shared" si="72"/>
        <v>38.400000000000006</v>
      </c>
      <c r="AP192" s="126" t="str">
        <f t="shared" si="59"/>
        <v>0.0001-0.991875i</v>
      </c>
      <c r="AQ192" s="105" t="str">
        <f t="shared" si="60"/>
        <v>0.000001-0.0633271070855874i</v>
      </c>
      <c r="AR192" s="105" t="str">
        <f t="shared" si="61"/>
        <v>0.0243176091208656+93.3796190241238i</v>
      </c>
      <c r="AS192" s="93" t="str">
        <f t="shared" si="70"/>
        <v>19.8528960862747+0.0001i</v>
      </c>
      <c r="AT192" s="87"/>
      <c r="AU192" s="87" t="str">
        <f t="shared" si="62"/>
        <v>0.0243186091208656+93.3162919170382i</v>
      </c>
      <c r="AV192" s="87" t="str">
        <f t="shared" si="63"/>
        <v>0.473463190647573+1852.5986490173i</v>
      </c>
      <c r="AW192" s="87" t="str">
        <f t="shared" si="64"/>
        <v>19.8772146953956+93.3163919170382i</v>
      </c>
      <c r="AX192" s="87" t="str">
        <f t="shared" si="65"/>
        <v>18.9922259157224+4.04043792450554i</v>
      </c>
      <c r="AY192" s="87" t="str">
        <f t="shared" si="66"/>
        <v>18.9923259157224+3.04856292450554i</v>
      </c>
      <c r="AZ192" s="87">
        <f t="shared" si="67"/>
        <v>38.400000000000006</v>
      </c>
      <c r="BA192" s="87">
        <f t="shared" si="68"/>
        <v>19.235440717428091</v>
      </c>
    </row>
    <row r="193" spans="41:53" x14ac:dyDescent="0.25">
      <c r="AO193" s="87">
        <f t="shared" si="72"/>
        <v>38.600000000000009</v>
      </c>
      <c r="AP193" s="126" t="str">
        <f t="shared" si="59"/>
        <v>0.0001-0.986735751295337i</v>
      </c>
      <c r="AQ193" s="105" t="str">
        <f t="shared" si="60"/>
        <v>0.000001-0.0629989873597554i</v>
      </c>
      <c r="AR193" s="105" t="str">
        <f t="shared" si="61"/>
        <v>0.0243176091208656+93.8659712065411i</v>
      </c>
      <c r="AS193" s="93" t="str">
        <f t="shared" si="70"/>
        <v>19.8528960862747+0.0001i</v>
      </c>
      <c r="AT193" s="87"/>
      <c r="AU193" s="87" t="str">
        <f t="shared" si="62"/>
        <v>0.0243186091208656+93.8029722191813i</v>
      </c>
      <c r="AV193" s="87" t="str">
        <f t="shared" si="63"/>
        <v>0.473414522617359+1862.26066248298i</v>
      </c>
      <c r="AW193" s="87" t="str">
        <f t="shared" si="64"/>
        <v>19.8772146953956+93.8030722191813i</v>
      </c>
      <c r="AX193" s="87" t="str">
        <f t="shared" si="65"/>
        <v>19.0007506060013+4.02128177385437i</v>
      </c>
      <c r="AY193" s="87" t="str">
        <f t="shared" si="66"/>
        <v>19.0008506060013+3.03454602255903i</v>
      </c>
      <c r="AZ193" s="87">
        <f t="shared" si="67"/>
        <v>38.600000000000009</v>
      </c>
      <c r="BA193" s="87">
        <f t="shared" si="68"/>
        <v>19.241642167824683</v>
      </c>
    </row>
    <row r="194" spans="41:53" x14ac:dyDescent="0.25">
      <c r="AO194" s="87">
        <f t="shared" si="72"/>
        <v>38.800000000000011</v>
      </c>
      <c r="AP194" s="126" t="str">
        <f t="shared" si="59"/>
        <v>0.0001-0.981649484536082i</v>
      </c>
      <c r="AQ194" s="105" t="str">
        <f t="shared" si="60"/>
        <v>0.000001-0.0626742503115092i</v>
      </c>
      <c r="AR194" s="105" t="str">
        <f t="shared" si="61"/>
        <v>0.0243176091208656+94.3523233889585i</v>
      </c>
      <c r="AS194" s="93" t="str">
        <f t="shared" si="70"/>
        <v>19.8528960862747+0.0001i</v>
      </c>
      <c r="AT194" s="87"/>
      <c r="AU194" s="87" t="str">
        <f t="shared" si="62"/>
        <v>0.0243186091208656+94.289649138647i</v>
      </c>
      <c r="AV194" s="87" t="str">
        <f t="shared" si="63"/>
        <v>0.473365854925412+1871.92260879272i</v>
      </c>
      <c r="AW194" s="87" t="str">
        <f t="shared" si="64"/>
        <v>19.8772146953956+94.289749138647i</v>
      </c>
      <c r="AX194" s="87" t="str">
        <f t="shared" si="65"/>
        <v>19.0091510677469+4.00229732864155i</v>
      </c>
      <c r="AY194" s="87" t="str">
        <f t="shared" si="66"/>
        <v>19.0092510677469+3.02064784410547i</v>
      </c>
      <c r="AZ194" s="87">
        <f t="shared" si="67"/>
        <v>38.800000000000011</v>
      </c>
      <c r="BA194" s="87">
        <f t="shared" si="68"/>
        <v>19.247751545433445</v>
      </c>
    </row>
    <row r="195" spans="41:53" x14ac:dyDescent="0.25">
      <c r="AO195" s="87">
        <f t="shared" si="72"/>
        <v>39.000000000000014</v>
      </c>
      <c r="AP195" s="126" t="str">
        <f t="shared" si="59"/>
        <v>0.0001-0.976615384615384i</v>
      </c>
      <c r="AQ195" s="105" t="str">
        <f t="shared" si="60"/>
        <v>0.000001-0.0623528438996553i</v>
      </c>
      <c r="AR195" s="105" t="str">
        <f t="shared" si="61"/>
        <v>0.0243176091208656+94.8386755713758i</v>
      </c>
      <c r="AS195" s="93" t="str">
        <f t="shared" ref="AS195:AS226" si="73">COMPLEX($D$17,0.0001)</f>
        <v>19.8528960862747+0.0001i</v>
      </c>
      <c r="AT195" s="87"/>
      <c r="AU195" s="87" t="str">
        <f t="shared" si="62"/>
        <v>0.0243186091208656+94.7763227274761i</v>
      </c>
      <c r="AV195" s="87" t="str">
        <f t="shared" si="63"/>
        <v>0.473317187566529+1881.58448897968i</v>
      </c>
      <c r="AW195" s="87" t="str">
        <f t="shared" si="64"/>
        <v>19.8772146953956+94.7764227274761i</v>
      </c>
      <c r="AX195" s="87" t="str">
        <f t="shared" si="65"/>
        <v>19.0174296675996+3.98348243587428i</v>
      </c>
      <c r="AY195" s="87" t="str">
        <f t="shared" si="66"/>
        <v>19.0175296675996+3.0068670512589i</v>
      </c>
      <c r="AZ195" s="87">
        <f t="shared" si="67"/>
        <v>39.000000000000014</v>
      </c>
      <c r="BA195" s="87">
        <f t="shared" si="68"/>
        <v>19.253770646862328</v>
      </c>
    </row>
    <row r="196" spans="41:53" x14ac:dyDescent="0.25">
      <c r="AO196" s="87">
        <f t="shared" si="72"/>
        <v>39.200000000000017</v>
      </c>
      <c r="AP196" s="126" t="str">
        <f t="shared" si="59"/>
        <v>0.0001-0.971632653061224i</v>
      </c>
      <c r="AQ196" s="105" t="str">
        <f t="shared" si="60"/>
        <v>0.000001-0.0620347171450652i</v>
      </c>
      <c r="AR196" s="105" t="str">
        <f t="shared" si="61"/>
        <v>0.0243176091208656+95.3250277537931i</v>
      </c>
      <c r="AS196" s="93" t="str">
        <f t="shared" si="73"/>
        <v>19.8528960862747+0.0001i</v>
      </c>
      <c r="AT196" s="87"/>
      <c r="AU196" s="87" t="str">
        <f t="shared" si="62"/>
        <v>0.0243186091208656+95.262993036648i</v>
      </c>
      <c r="AV196" s="87" t="str">
        <f t="shared" si="63"/>
        <v>0.473268520535612+1891.24630405594i</v>
      </c>
      <c r="AW196" s="87" t="str">
        <f t="shared" si="64"/>
        <v>19.8772146953956+95.263093036648i</v>
      </c>
      <c r="AX196" s="87" t="str">
        <f t="shared" si="65"/>
        <v>19.025588716983+3.96483497515589i</v>
      </c>
      <c r="AY196" s="87" t="str">
        <f t="shared" si="66"/>
        <v>19.025688716983+2.99320232209467i</v>
      </c>
      <c r="AZ196" s="87">
        <f t="shared" si="67"/>
        <v>39.200000000000017</v>
      </c>
      <c r="BA196" s="87">
        <f t="shared" si="68"/>
        <v>19.259701225525987</v>
      </c>
    </row>
    <row r="197" spans="41:53" x14ac:dyDescent="0.25">
      <c r="AO197" s="87">
        <f t="shared" si="72"/>
        <v>39.40000000000002</v>
      </c>
      <c r="AP197" s="126" t="str">
        <f t="shared" si="59"/>
        <v>0.0001-0.966700507614213i</v>
      </c>
      <c r="AQ197" s="105" t="str">
        <f t="shared" si="60"/>
        <v>0.000001-0.0617198201037197i</v>
      </c>
      <c r="AR197" s="105" t="str">
        <f t="shared" si="61"/>
        <v>0.0243176091208656+95.8113799362104i</v>
      </c>
      <c r="AS197" s="93" t="str">
        <f t="shared" si="73"/>
        <v>19.8528960862747+0.0001i</v>
      </c>
      <c r="AT197" s="87"/>
      <c r="AU197" s="87" t="str">
        <f t="shared" si="62"/>
        <v>0.0243186091208656+95.7496601161067i</v>
      </c>
      <c r="AV197" s="87" t="str">
        <f t="shared" si="63"/>
        <v>0.473219853827666+1900.90805501305i</v>
      </c>
      <c r="AW197" s="87" t="str">
        <f t="shared" si="64"/>
        <v>19.8772146953956+95.7497601161067i</v>
      </c>
      <c r="AX197" s="87" t="str">
        <f t="shared" si="65"/>
        <v>19.0336304736171+3.94635285816786i</v>
      </c>
      <c r="AY197" s="87" t="str">
        <f t="shared" si="66"/>
        <v>19.0337304736171+2.97965235055365i</v>
      </c>
      <c r="AZ197" s="87">
        <f t="shared" si="67"/>
        <v>39.40000000000002</v>
      </c>
      <c r="BA197" s="87">
        <f t="shared" si="68"/>
        <v>19.265544992874197</v>
      </c>
    </row>
    <row r="198" spans="41:53" x14ac:dyDescent="0.25">
      <c r="AO198" s="87">
        <f t="shared" si="72"/>
        <v>39.600000000000023</v>
      </c>
      <c r="AP198" s="126" t="str">
        <f t="shared" ref="AP198:AP250" si="74">COMPLEX(0.0001,-1*$D$22/AO198)</f>
        <v>0.0001-0.961818181818181i</v>
      </c>
      <c r="AQ198" s="105" t="str">
        <f t="shared" ref="AQ198:AQ250" si="75">COMPLEX(0.000001,-1*$D$23/AO198)</f>
        <v>0.000001-0.0614081038405696i</v>
      </c>
      <c r="AR198" s="105" t="str">
        <f t="shared" ref="AR198:AR250" si="76">COMPLEX($D$24/$D$26,$D$24*AO198)</f>
        <v>0.0243176091208656+96.2977321186277i</v>
      </c>
      <c r="AS198" s="93" t="str">
        <f t="shared" si="73"/>
        <v>19.8528960862747+0.0001i</v>
      </c>
      <c r="AT198" s="87"/>
      <c r="AU198" s="87" t="str">
        <f t="shared" ref="AU198:AU250" si="77">IMSUM(AR198,AQ198)</f>
        <v>0.0243186091208656+96.2363240147871i</v>
      </c>
      <c r="AV198" s="87" t="str">
        <f t="shared" ref="AV198:AV250" si="78">IMPRODUCT(AU198,AS198)</f>
        <v>0.473171187437798+1910.56974282249i</v>
      </c>
      <c r="AW198" s="87" t="str">
        <f t="shared" ref="AW198:AW250" si="79">IMSUM(AS198,AU198)</f>
        <v>19.8772146953956+96.2364240147871i</v>
      </c>
      <c r="AX198" s="87" t="str">
        <f t="shared" ref="AX198:AX250" si="80">IMDIV(AV198,AW198)</f>
        <v>19.0415571429837+3.92803402815767i</v>
      </c>
      <c r="AY198" s="87" t="str">
        <f t="shared" ref="AY198:AY250" si="81">IMSUM(AX198,AP198)</f>
        <v>19.0416571429837+2.96621584633949i</v>
      </c>
      <c r="AZ198" s="87">
        <f t="shared" ref="AZ198:AZ250" si="82">AO198</f>
        <v>39.600000000000023</v>
      </c>
      <c r="BA198" s="87">
        <f t="shared" ref="BA198:BA250" si="83">IMABS(AY198)</f>
        <v>19.271303619579491</v>
      </c>
    </row>
    <row r="199" spans="41:53" x14ac:dyDescent="0.25">
      <c r="AO199" s="87">
        <f t="shared" si="72"/>
        <v>39.800000000000026</v>
      </c>
      <c r="AP199" s="126" t="str">
        <f t="shared" si="74"/>
        <v>0.0001-0.956984924623115i</v>
      </c>
      <c r="AQ199" s="105" t="str">
        <f t="shared" si="75"/>
        <v>0.000001-0.0610995204041848i</v>
      </c>
      <c r="AR199" s="105" t="str">
        <f t="shared" si="76"/>
        <v>0.0243176091208656+96.7840843010451i</v>
      </c>
      <c r="AS199" s="93" t="str">
        <f t="shared" si="73"/>
        <v>19.8528960862747+0.0001i</v>
      </c>
      <c r="AT199" s="87"/>
      <c r="AU199" s="87" t="str">
        <f t="shared" si="77"/>
        <v>0.0243186091208656+96.7229847806409i</v>
      </c>
      <c r="AV199" s="87" t="str">
        <f t="shared" si="78"/>
        <v>0.473122521361213+1920.23136843625i</v>
      </c>
      <c r="AW199" s="87" t="str">
        <f t="shared" si="79"/>
        <v>19.8772146953956+96.7230847806409i</v>
      </c>
      <c r="AX199" s="87" t="str">
        <f t="shared" si="80"/>
        <v>19.0493708797468+3.90987645943314i</v>
      </c>
      <c r="AY199" s="87" t="str">
        <f t="shared" si="81"/>
        <v>19.0494708797468+2.95289153481002i</v>
      </c>
      <c r="AZ199" s="87">
        <f t="shared" si="82"/>
        <v>39.800000000000026</v>
      </c>
      <c r="BA199" s="87">
        <f t="shared" si="83"/>
        <v>19.276978736686775</v>
      </c>
    </row>
    <row r="200" spans="41:53" x14ac:dyDescent="0.25">
      <c r="AO200" s="87">
        <f t="shared" si="72"/>
        <v>40.000000000000028</v>
      </c>
      <c r="AP200" s="126" t="str">
        <f t="shared" si="74"/>
        <v>0.0001-0.952199999999999i</v>
      </c>
      <c r="AQ200" s="105" t="str">
        <f t="shared" si="75"/>
        <v>0.000001-0.0607940228021639i</v>
      </c>
      <c r="AR200" s="105" t="str">
        <f t="shared" si="76"/>
        <v>0.0243176091208656+97.2704364834624i</v>
      </c>
      <c r="AS200" s="93" t="str">
        <f t="shared" si="73"/>
        <v>19.8528960862747+0.0001i</v>
      </c>
      <c r="AT200" s="87"/>
      <c r="AU200" s="87" t="str">
        <f t="shared" si="77"/>
        <v>0.0243186091208656+97.2096424606602i</v>
      </c>
      <c r="AV200" s="87" t="str">
        <f t="shared" si="78"/>
        <v>0.473073855593211+1929.89293278726i</v>
      </c>
      <c r="AW200" s="87" t="str">
        <f t="shared" si="79"/>
        <v>19.8772146953956+97.2097424606602i</v>
      </c>
      <c r="AX200" s="87" t="str">
        <f t="shared" si="80"/>
        <v>19.0570737891285+3.89187815686288i</v>
      </c>
      <c r="AY200" s="87" t="str">
        <f t="shared" si="81"/>
        <v>19.0571737891285+2.93967815686288i</v>
      </c>
      <c r="AZ200" s="87">
        <f t="shared" si="82"/>
        <v>40.000000000000028</v>
      </c>
      <c r="BA200" s="87">
        <f t="shared" si="83"/>
        <v>19.282571936725219</v>
      </c>
    </row>
    <row r="201" spans="41:53" x14ac:dyDescent="0.25">
      <c r="AO201" s="87">
        <f t="shared" si="72"/>
        <v>40.200000000000031</v>
      </c>
      <c r="AP201" s="126" t="str">
        <f t="shared" si="74"/>
        <v>0.0001-0.947462686567164i</v>
      </c>
      <c r="AQ201" s="105" t="str">
        <f t="shared" si="75"/>
        <v>0.000001-0.0604915649772775i</v>
      </c>
      <c r="AR201" s="105" t="str">
        <f t="shared" si="76"/>
        <v>0.0243176091208656+97.7567886658797i</v>
      </c>
      <c r="AS201" s="93" t="str">
        <f t="shared" si="73"/>
        <v>19.8528960862747+0.0001i</v>
      </c>
      <c r="AT201" s="87"/>
      <c r="AU201" s="87" t="str">
        <f t="shared" si="77"/>
        <v>0.0243186091208656+97.6962971009024i</v>
      </c>
      <c r="AV201" s="87" t="str">
        <f t="shared" si="78"/>
        <v>0.473025190129187+1939.5544367899i</v>
      </c>
      <c r="AW201" s="87" t="str">
        <f t="shared" si="79"/>
        <v>19.8772146953956+97.6963971009024i</v>
      </c>
      <c r="AX201" s="87" t="str">
        <f t="shared" si="80"/>
        <v>19.0646679282424+3.8740371553832i</v>
      </c>
      <c r="AY201" s="87" t="str">
        <f t="shared" si="81"/>
        <v>19.0647679282424+2.92657446881604i</v>
      </c>
      <c r="AZ201" s="87">
        <f t="shared" si="82"/>
        <v>40.200000000000031</v>
      </c>
      <c r="BA201" s="87">
        <f t="shared" si="83"/>
        <v>19.288084774784302</v>
      </c>
    </row>
    <row r="202" spans="41:53" x14ac:dyDescent="0.25">
      <c r="AO202" s="87">
        <f t="shared" si="72"/>
        <v>40.400000000000034</v>
      </c>
      <c r="AP202" s="126" t="str">
        <f t="shared" si="74"/>
        <v>0.0001-0.942772277227722i</v>
      </c>
      <c r="AQ202" s="105" t="str">
        <f t="shared" si="75"/>
        <v>0.000001-0.0601921017843207i</v>
      </c>
      <c r="AR202" s="105" t="str">
        <f t="shared" si="76"/>
        <v>0.0243176091208656+98.243140848297i</v>
      </c>
      <c r="AS202" s="93" t="str">
        <f t="shared" si="73"/>
        <v>19.8528960862747+0.0001i</v>
      </c>
      <c r="AT202" s="87"/>
      <c r="AU202" s="87" t="str">
        <f t="shared" si="77"/>
        <v>0.0243186091208656+98.1829487465127i</v>
      </c>
      <c r="AV202" s="87" t="str">
        <f t="shared" si="78"/>
        <v>0.472976524964626+1949.21588134041i</v>
      </c>
      <c r="AW202" s="87" t="str">
        <f t="shared" si="79"/>
        <v>19.8772146953956+98.1830487465127i</v>
      </c>
      <c r="AX202" s="87" t="str">
        <f t="shared" si="80"/>
        <v>19.0721553073863+3.85635151951145i</v>
      </c>
      <c r="AY202" s="87" t="str">
        <f t="shared" si="81"/>
        <v>19.0722553073863+2.91357924228373i</v>
      </c>
      <c r="AZ202" s="87">
        <f t="shared" si="82"/>
        <v>40.400000000000034</v>
      </c>
      <c r="BA202" s="87">
        <f t="shared" si="83"/>
        <v>19.293518769555529</v>
      </c>
    </row>
    <row r="203" spans="41:53" x14ac:dyDescent="0.25">
      <c r="AO203" s="87">
        <f t="shared" si="72"/>
        <v>40.600000000000037</v>
      </c>
      <c r="AP203" s="126" t="str">
        <f t="shared" si="74"/>
        <v>0.0001-0.938128078817733i</v>
      </c>
      <c r="AQ203" s="105" t="str">
        <f t="shared" si="75"/>
        <v>0.000001-0.0598955889676491i</v>
      </c>
      <c r="AR203" s="105" t="str">
        <f t="shared" si="76"/>
        <v>0.0243176091208656+98.7294930307143i</v>
      </c>
      <c r="AS203" s="93" t="str">
        <f t="shared" si="73"/>
        <v>19.8528960862747+0.0001i</v>
      </c>
      <c r="AT203" s="87"/>
      <c r="AU203" s="87" t="str">
        <f t="shared" si="77"/>
        <v>0.0243186091208656+98.6695974417466i</v>
      </c>
      <c r="AV203" s="87" t="str">
        <f t="shared" si="78"/>
        <v>0.472927860095102+1958.87726731741i</v>
      </c>
      <c r="AW203" s="87" t="str">
        <f t="shared" si="79"/>
        <v>19.8772146953956+98.6696974417466i</v>
      </c>
      <c r="AX203" s="87" t="str">
        <f t="shared" si="80"/>
        <v>19.0795378912951+3.838819342866i</v>
      </c>
      <c r="AY203" s="87" t="str">
        <f t="shared" si="81"/>
        <v>19.0796378912951+2.90069126404827i</v>
      </c>
      <c r="AZ203" s="87">
        <f t="shared" si="82"/>
        <v>40.600000000000037</v>
      </c>
      <c r="BA203" s="87">
        <f t="shared" si="83"/>
        <v>19.298875404340787</v>
      </c>
    </row>
    <row r="204" spans="41:53" x14ac:dyDescent="0.25">
      <c r="AO204" s="87">
        <f t="shared" si="72"/>
        <v>40.80000000000004</v>
      </c>
      <c r="AP204" s="126" t="str">
        <f t="shared" si="74"/>
        <v>0.0001-0.933529411764705i</v>
      </c>
      <c r="AQ204" s="105" t="str">
        <f t="shared" si="75"/>
        <v>0.000001-0.0596019831393764i</v>
      </c>
      <c r="AR204" s="105" t="str">
        <f t="shared" si="76"/>
        <v>0.0243176091208656+99.2158452131316i</v>
      </c>
      <c r="AS204" s="93" t="str">
        <f t="shared" si="73"/>
        <v>19.8528960862747+0.0001i</v>
      </c>
      <c r="AT204" s="87"/>
      <c r="AU204" s="87" t="str">
        <f t="shared" si="77"/>
        <v>0.0243186091208656+99.1562432299922i</v>
      </c>
      <c r="AV204" s="87" t="str">
        <f t="shared" si="78"/>
        <v>0.472879195516278+1968.53859558228i</v>
      </c>
      <c r="AW204" s="87" t="str">
        <f t="shared" si="79"/>
        <v>19.8772146953956+99.1563432299922i</v>
      </c>
      <c r="AX204" s="87" t="str">
        <f t="shared" si="80"/>
        <v>19.0868176003553+3.82143874769263i</v>
      </c>
      <c r="AY204" s="87" t="str">
        <f t="shared" si="81"/>
        <v>19.0869176003553+2.88790933592793i</v>
      </c>
      <c r="AZ204" s="87">
        <f t="shared" si="82"/>
        <v>40.80000000000004</v>
      </c>
      <c r="BA204" s="87">
        <f t="shared" si="83"/>
        <v>19.3041561280283</v>
      </c>
    </row>
    <row r="205" spans="41:53" x14ac:dyDescent="0.25">
      <c r="AO205" s="87">
        <f t="shared" si="72"/>
        <v>41.000000000000043</v>
      </c>
      <c r="AP205" s="126" t="str">
        <f t="shared" si="74"/>
        <v>0.0001-0.928975609756097i</v>
      </c>
      <c r="AQ205" s="105" t="str">
        <f t="shared" si="75"/>
        <v>0.000001-0.0593112417582087i</v>
      </c>
      <c r="AR205" s="105" t="str">
        <f t="shared" si="76"/>
        <v>0.0243176091208656+99.702197395549i</v>
      </c>
      <c r="AS205" s="93" t="str">
        <f t="shared" si="73"/>
        <v>19.8528960862747+0.0001i</v>
      </c>
      <c r="AT205" s="87"/>
      <c r="AU205" s="87" t="str">
        <f t="shared" si="77"/>
        <v>0.0243186091208656+99.6428861537908i</v>
      </c>
      <c r="AV205" s="87" t="str">
        <f t="shared" si="78"/>
        <v>0.472830531223898+1978.19986697957i</v>
      </c>
      <c r="AW205" s="87" t="str">
        <f t="shared" si="79"/>
        <v>19.8772146953956+99.6429861537908i</v>
      </c>
      <c r="AX205" s="87" t="str">
        <f t="shared" si="80"/>
        <v>19.0939963117826+3.80420788439758i</v>
      </c>
      <c r="AY205" s="87" t="str">
        <f t="shared" si="81"/>
        <v>19.0940963117826+2.87523227464148i</v>
      </c>
      <c r="AZ205" s="87">
        <f t="shared" si="82"/>
        <v>41.000000000000043</v>
      </c>
      <c r="BA205" s="87">
        <f t="shared" si="83"/>
        <v>19.309362356037806</v>
      </c>
    </row>
    <row r="206" spans="41:53" x14ac:dyDescent="0.25">
      <c r="AO206" s="87">
        <f t="shared" si="72"/>
        <v>41.200000000000045</v>
      </c>
      <c r="AP206" s="126" t="str">
        <f t="shared" si="74"/>
        <v>0.0001-0.924466019417475i</v>
      </c>
      <c r="AQ206" s="105" t="str">
        <f t="shared" si="75"/>
        <v>0.000001-0.059023323108897i</v>
      </c>
      <c r="AR206" s="105" t="str">
        <f t="shared" si="76"/>
        <v>0.0243176091208656+100.188549577966i</v>
      </c>
      <c r="AS206" s="93" t="str">
        <f t="shared" si="73"/>
        <v>19.8528960862747+0.0001i</v>
      </c>
      <c r="AT206" s="87"/>
      <c r="AU206" s="87" t="str">
        <f t="shared" si="77"/>
        <v>0.0243186091208656+100.129526254857i</v>
      </c>
      <c r="AV206" s="87" t="str">
        <f t="shared" si="78"/>
        <v>0.472781867213791+1987.86108233745i</v>
      </c>
      <c r="AW206" s="87" t="str">
        <f t="shared" si="79"/>
        <v>19.8772146953956+100.129626254857i</v>
      </c>
      <c r="AX206" s="87" t="str">
        <f t="shared" si="80"/>
        <v>19.1010758607637+3.78712493108733i</v>
      </c>
      <c r="AY206" s="87" t="str">
        <f t="shared" si="81"/>
        <v>19.1011758607637+2.86265891166985i</v>
      </c>
      <c r="AZ206" s="87">
        <f t="shared" si="82"/>
        <v>41.200000000000045</v>
      </c>
      <c r="BA206" s="87">
        <f t="shared" si="83"/>
        <v>19.314495471235709</v>
      </c>
    </row>
    <row r="207" spans="41:53" x14ac:dyDescent="0.25">
      <c r="AO207" s="87">
        <f t="shared" si="72"/>
        <v>41.400000000000048</v>
      </c>
      <c r="AP207" s="126" t="str">
        <f t="shared" si="74"/>
        <v>0.0001-0.919999999999999i</v>
      </c>
      <c r="AQ207" s="105" t="str">
        <f t="shared" si="75"/>
        <v>0.000001-0.0587381862822839i</v>
      </c>
      <c r="AR207" s="105" t="str">
        <f t="shared" si="76"/>
        <v>0.0243176091208656+100.674901760384i</v>
      </c>
      <c r="AS207" s="93" t="str">
        <f t="shared" si="73"/>
        <v>19.8528960862747+0.0001i</v>
      </c>
      <c r="AT207" s="87"/>
      <c r="AU207" s="87" t="str">
        <f t="shared" si="77"/>
        <v>0.0243186091208656+100.616163574102i</v>
      </c>
      <c r="AV207" s="87" t="str">
        <f t="shared" si="78"/>
        <v>0.472733203481867+1997.52224246813i</v>
      </c>
      <c r="AW207" s="87" t="str">
        <f t="shared" si="79"/>
        <v>19.8772146953956+100.616263574102i</v>
      </c>
      <c r="AX207" s="87" t="str">
        <f t="shared" si="80"/>
        <v>19.1080580415642+3.77018809311471i</v>
      </c>
      <c r="AY207" s="87" t="str">
        <f t="shared" si="81"/>
        <v>19.1081580415642+2.85018809311471i</v>
      </c>
      <c r="AZ207" s="87">
        <f t="shared" si="82"/>
        <v>41.400000000000048</v>
      </c>
      <c r="BA207" s="87">
        <f t="shared" si="83"/>
        <v>19.31955682482203</v>
      </c>
    </row>
    <row r="208" spans="41:53" x14ac:dyDescent="0.25">
      <c r="AO208" s="87">
        <f t="shared" si="72"/>
        <v>41.600000000000051</v>
      </c>
      <c r="AP208" s="126" t="str">
        <f t="shared" si="74"/>
        <v>0.0001-0.915576923076922i</v>
      </c>
      <c r="AQ208" s="105" t="str">
        <f t="shared" si="75"/>
        <v>0.000001-0.0584557911559268i</v>
      </c>
      <c r="AR208" s="105" t="str">
        <f t="shared" si="76"/>
        <v>0.0243176091208656+101.161253942801i</v>
      </c>
      <c r="AS208" s="93" t="str">
        <f t="shared" si="73"/>
        <v>19.8528960862747+0.0001i</v>
      </c>
      <c r="AT208" s="87"/>
      <c r="AU208" s="87" t="str">
        <f t="shared" si="77"/>
        <v>0.0243186091208656+101.102798151645i</v>
      </c>
      <c r="AV208" s="87" t="str">
        <f t="shared" si="78"/>
        <v>0.472684540024112+2007.18334816807i</v>
      </c>
      <c r="AW208" s="87" t="str">
        <f t="shared" si="79"/>
        <v>19.8772146953956+101.102898151645i</v>
      </c>
      <c r="AX208" s="87" t="str">
        <f t="shared" si="80"/>
        <v>19.1149446086017+3.75339560263212i</v>
      </c>
      <c r="AY208" s="87" t="str">
        <f t="shared" si="81"/>
        <v>19.1150446086017+2.8378186795552i</v>
      </c>
      <c r="AZ208" s="87">
        <f t="shared" si="82"/>
        <v>41.600000000000051</v>
      </c>
      <c r="BA208" s="87">
        <f t="shared" si="83"/>
        <v>19.324547737188194</v>
      </c>
    </row>
    <row r="209" spans="41:53" x14ac:dyDescent="0.25">
      <c r="AO209" s="87">
        <f t="shared" si="72"/>
        <v>41.800000000000054</v>
      </c>
      <c r="AP209" s="126" t="str">
        <f t="shared" si="74"/>
        <v>0.0001-0.911196172248803i</v>
      </c>
      <c r="AQ209" s="105" t="str">
        <f t="shared" si="75"/>
        <v>0.000001-0.0581760983752764i</v>
      </c>
      <c r="AR209" s="105" t="str">
        <f t="shared" si="76"/>
        <v>0.0243176091208656+101.647606125218i</v>
      </c>
      <c r="AS209" s="93" t="str">
        <f t="shared" si="73"/>
        <v>19.8528960862747+0.0001i</v>
      </c>
      <c r="AT209" s="87"/>
      <c r="AU209" s="87" t="str">
        <f t="shared" si="77"/>
        <v>0.0243186091208656+101.589430026843i</v>
      </c>
      <c r="AV209" s="87" t="str">
        <f t="shared" si="78"/>
        <v>0.472635876836593+2016.84440021865i</v>
      </c>
      <c r="AW209" s="87" t="str">
        <f t="shared" si="79"/>
        <v>19.8772146953956+101.589530026843i</v>
      </c>
      <c r="AX209" s="87" t="str">
        <f t="shared" si="80"/>
        <v>19.1217372774889+3.73674571815083i</v>
      </c>
      <c r="AY209" s="87" t="str">
        <f t="shared" si="81"/>
        <v>19.1218372774889+2.82554954590203i</v>
      </c>
      <c r="AZ209" s="87">
        <f t="shared" si="82"/>
        <v>41.800000000000054</v>
      </c>
      <c r="BA209" s="87">
        <f t="shared" si="83"/>
        <v>19.329469498750122</v>
      </c>
    </row>
    <row r="210" spans="41:53" x14ac:dyDescent="0.25">
      <c r="AO210" s="87">
        <f t="shared" si="72"/>
        <v>42.000000000000057</v>
      </c>
      <c r="AP210" s="126" t="str">
        <f t="shared" si="74"/>
        <v>0.0001-0.906857142857142i</v>
      </c>
      <c r="AQ210" s="105" t="str">
        <f t="shared" si="75"/>
        <v>0.000001-0.0578990693353941i</v>
      </c>
      <c r="AR210" s="105" t="str">
        <f t="shared" si="76"/>
        <v>0.0243176091208656+102.133958307636i</v>
      </c>
      <c r="AS210" s="93" t="str">
        <f t="shared" si="73"/>
        <v>19.8528960862747+0.0001i</v>
      </c>
      <c r="AT210" s="87"/>
      <c r="AU210" s="87" t="str">
        <f t="shared" si="77"/>
        <v>0.0243186091208656+102.076059238301i</v>
      </c>
      <c r="AV210" s="87" t="str">
        <f t="shared" si="78"/>
        <v>0.472587213915447+2026.50539938627i</v>
      </c>
      <c r="AW210" s="87" t="str">
        <f t="shared" si="79"/>
        <v>19.8772146953956+102.076159238301i</v>
      </c>
      <c r="AX210" s="87" t="str">
        <f t="shared" si="80"/>
        <v>19.1284377260431+3.72023672410725i</v>
      </c>
      <c r="AY210" s="87" t="str">
        <f t="shared" si="81"/>
        <v>19.1285377260431+2.81337958125011i</v>
      </c>
      <c r="AZ210" s="87">
        <f t="shared" si="82"/>
        <v>42.000000000000057</v>
      </c>
      <c r="BA210" s="87">
        <f t="shared" si="83"/>
        <v>19.33432337075309</v>
      </c>
    </row>
    <row r="211" spans="41:53" x14ac:dyDescent="0.25">
      <c r="AO211" s="87">
        <f t="shared" si="72"/>
        <v>42.20000000000006</v>
      </c>
      <c r="AP211" s="126" t="str">
        <f t="shared" si="74"/>
        <v>0.0001-0.90255924170616i</v>
      </c>
      <c r="AQ211" s="105" t="str">
        <f t="shared" si="75"/>
        <v>0.000001-0.0576246661631885i</v>
      </c>
      <c r="AR211" s="105" t="str">
        <f t="shared" si="76"/>
        <v>0.0243176091208656+102.620310490053i</v>
      </c>
      <c r="AS211" s="93" t="str">
        <f t="shared" si="73"/>
        <v>19.8528960862747+0.0001i</v>
      </c>
      <c r="AT211" s="87"/>
      <c r="AU211" s="87" t="str">
        <f t="shared" si="77"/>
        <v>0.0243186091208656+102.56268582389i</v>
      </c>
      <c r="AV211" s="87" t="str">
        <f t="shared" si="78"/>
        <v>0.472538551256888+2036.16634642279i</v>
      </c>
      <c r="AW211" s="87" t="str">
        <f t="shared" si="79"/>
        <v>19.8772146953956+102.56278582389i</v>
      </c>
      <c r="AX211" s="87" t="str">
        <f t="shared" si="80"/>
        <v>19.1350475952673+3.70386693043588i</v>
      </c>
      <c r="AY211" s="87" t="str">
        <f t="shared" si="81"/>
        <v>19.1351475952673+2.80130768872972i</v>
      </c>
      <c r="AZ211" s="87">
        <f t="shared" si="82"/>
        <v>42.20000000000006</v>
      </c>
      <c r="BA211" s="87">
        <f t="shared" si="83"/>
        <v>19.339110586053334</v>
      </c>
    </row>
    <row r="212" spans="41:53" x14ac:dyDescent="0.25">
      <c r="AO212" s="87">
        <f t="shared" si="72"/>
        <v>42.400000000000063</v>
      </c>
      <c r="AP212" s="126" t="str">
        <f t="shared" si="74"/>
        <v>0.0001-0.898301886792452i</v>
      </c>
      <c r="AQ212" s="105" t="str">
        <f t="shared" si="75"/>
        <v>0.000001-0.0573528517001546i</v>
      </c>
      <c r="AR212" s="105" t="str">
        <f t="shared" si="76"/>
        <v>0.0243176091208656+103.10666267247i</v>
      </c>
      <c r="AS212" s="93" t="str">
        <f t="shared" si="73"/>
        <v>19.8528960862747+0.0001i</v>
      </c>
      <c r="AT212" s="87"/>
      <c r="AU212" s="87" t="str">
        <f t="shared" si="77"/>
        <v>0.0243186091208656+103.04930982077i</v>
      </c>
      <c r="AV212" s="87" t="str">
        <f t="shared" si="78"/>
        <v>0.4724898888572+2045.82724206593i</v>
      </c>
      <c r="AW212" s="87" t="str">
        <f t="shared" si="79"/>
        <v>19.8772146953956+103.04940982077i</v>
      </c>
      <c r="AX212" s="87" t="str">
        <f t="shared" si="80"/>
        <v>19.1415684903019+3.68763467214831i</v>
      </c>
      <c r="AY212" s="87" t="str">
        <f t="shared" si="81"/>
        <v>19.1416684903019+2.78933278535586i</v>
      </c>
      <c r="AZ212" s="87">
        <f t="shared" si="82"/>
        <v>42.400000000000063</v>
      </c>
      <c r="BA212" s="87">
        <f t="shared" si="83"/>
        <v>19.343832349875182</v>
      </c>
    </row>
    <row r="213" spans="41:53" x14ac:dyDescent="0.25">
      <c r="AO213" s="87">
        <f t="shared" si="72"/>
        <v>42.600000000000065</v>
      </c>
      <c r="AP213" s="126" t="str">
        <f t="shared" si="74"/>
        <v>0.0001-0.894084507042252i</v>
      </c>
      <c r="AQ213" s="105" t="str">
        <f t="shared" si="75"/>
        <v>0.000001-0.0570835894855999i</v>
      </c>
      <c r="AR213" s="105" t="str">
        <f t="shared" si="76"/>
        <v>0.0243176091208656+103.593014854888i</v>
      </c>
      <c r="AS213" s="93" t="str">
        <f t="shared" si="73"/>
        <v>19.8528960862747+0.0001i</v>
      </c>
      <c r="AT213" s="87"/>
      <c r="AU213" s="87" t="str">
        <f t="shared" si="77"/>
        <v>0.0243186091208656+103.535931265402i</v>
      </c>
      <c r="AV213" s="87" t="str">
        <f t="shared" si="78"/>
        <v>0.472441226712737+2055.48808703957i</v>
      </c>
      <c r="AW213" s="87" t="str">
        <f t="shared" si="79"/>
        <v>19.8772146953956+103.536031265402i</v>
      </c>
      <c r="AX213" s="87" t="str">
        <f t="shared" si="80"/>
        <v>19.1480019813478+3.67153830891939i</v>
      </c>
      <c r="AY213" s="87" t="str">
        <f t="shared" si="81"/>
        <v>19.1481019813478+2.77745380187714i</v>
      </c>
      <c r="AZ213" s="87">
        <f t="shared" si="82"/>
        <v>42.600000000000065</v>
      </c>
      <c r="BA213" s="87">
        <f t="shared" si="83"/>
        <v>19.348489840544591</v>
      </c>
    </row>
    <row r="214" spans="41:53" x14ac:dyDescent="0.25">
      <c r="AO214" s="87">
        <f t="shared" si="72"/>
        <v>42.800000000000068</v>
      </c>
      <c r="AP214" s="126" t="str">
        <f t="shared" si="74"/>
        <v>0.0001-0.889906542056074i</v>
      </c>
      <c r="AQ214" s="105" t="str">
        <f t="shared" si="75"/>
        <v>0.000001-0.05681684374034i</v>
      </c>
      <c r="AR214" s="105" t="str">
        <f t="shared" si="76"/>
        <v>0.0243176091208656+104.079367037305i</v>
      </c>
      <c r="AS214" s="93" t="str">
        <f t="shared" si="73"/>
        <v>19.8528960862747+0.0001i</v>
      </c>
      <c r="AT214" s="87"/>
      <c r="AU214" s="87" t="str">
        <f t="shared" si="77"/>
        <v>0.0243186091208656+104.022550193565i</v>
      </c>
      <c r="AV214" s="87" t="str">
        <f t="shared" si="78"/>
        <v>0.47239256481992+2065.148882054i</v>
      </c>
      <c r="AW214" s="87" t="str">
        <f t="shared" si="79"/>
        <v>19.8772146953956+104.022650193565i</v>
      </c>
      <c r="AX214" s="87" t="str">
        <f t="shared" si="80"/>
        <v>19.1543496045626+3.65557622467938i</v>
      </c>
      <c r="AY214" s="87" t="str">
        <f t="shared" si="81"/>
        <v>19.1544496045626+2.76566968262331i</v>
      </c>
      <c r="AZ214" s="87">
        <f t="shared" si="82"/>
        <v>42.800000000000068</v>
      </c>
      <c r="BA214" s="87">
        <f t="shared" si="83"/>
        <v>19.353084210200453</v>
      </c>
    </row>
    <row r="215" spans="41:53" x14ac:dyDescent="0.25">
      <c r="AO215" s="87">
        <f t="shared" si="72"/>
        <v>43.000000000000071</v>
      </c>
      <c r="AP215" s="126" t="str">
        <f t="shared" si="74"/>
        <v>0.0001-0.885767441860464i</v>
      </c>
      <c r="AQ215" s="105" t="str">
        <f t="shared" si="75"/>
        <v>0.000001-0.0565525793508501i</v>
      </c>
      <c r="AR215" s="105" t="str">
        <f t="shared" si="76"/>
        <v>0.0243176091208656+104.565719219722i</v>
      </c>
      <c r="AS215" s="93" t="str">
        <f t="shared" si="73"/>
        <v>19.8528960862747+0.0001i</v>
      </c>
      <c r="AT215" s="87"/>
      <c r="AU215" s="87" t="str">
        <f t="shared" si="77"/>
        <v>0.0243186091208656+104.509166640371i</v>
      </c>
      <c r="AV215" s="87" t="str">
        <f t="shared" si="78"/>
        <v>0.47234390317524+2074.80962780631i</v>
      </c>
      <c r="AW215" s="87" t="str">
        <f t="shared" si="79"/>
        <v>19.8772146953956+104.509266640371i</v>
      </c>
      <c r="AX215" s="87" t="str">
        <f t="shared" si="80"/>
        <v>19.1606128629304+3.63974682721302i</v>
      </c>
      <c r="AY215" s="87" t="str">
        <f t="shared" si="81"/>
        <v>19.1607128629304+2.75397938535256i</v>
      </c>
      <c r="AZ215" s="87">
        <f t="shared" si="82"/>
        <v>43.000000000000071</v>
      </c>
      <c r="BA215" s="87">
        <f t="shared" si="83"/>
        <v>19.357616585484209</v>
      </c>
    </row>
    <row r="216" spans="41:53" x14ac:dyDescent="0.25">
      <c r="AO216" s="87">
        <f t="shared" si="72"/>
        <v>43.200000000000074</v>
      </c>
      <c r="AP216" s="126" t="str">
        <f t="shared" si="74"/>
        <v>0.0001-0.881666666666665i</v>
      </c>
      <c r="AQ216" s="105" t="str">
        <f t="shared" si="75"/>
        <v>0.000001-0.0562907618538554i</v>
      </c>
      <c r="AR216" s="105" t="str">
        <f t="shared" si="76"/>
        <v>0.0243176091208656+105.052071402139i</v>
      </c>
      <c r="AS216" s="93" t="str">
        <f t="shared" si="73"/>
        <v>19.8528960862747+0.0001i</v>
      </c>
      <c r="AT216" s="87"/>
      <c r="AU216" s="87" t="str">
        <f t="shared" si="77"/>
        <v>0.0243186091208656+104.995780640285i</v>
      </c>
      <c r="AV216" s="87" t="str">
        <f t="shared" si="78"/>
        <v>0.472295241775248+2084.47032498073i</v>
      </c>
      <c r="AW216" s="87" t="str">
        <f t="shared" si="79"/>
        <v>19.8772146953956+104.995880640285i</v>
      </c>
      <c r="AX216" s="87" t="str">
        <f t="shared" si="80"/>
        <v>19.1667932271063+3.62404854776442i</v>
      </c>
      <c r="AY216" s="87" t="str">
        <f t="shared" si="81"/>
        <v>19.1668932271063+2.74238188109776i</v>
      </c>
      <c r="AZ216" s="87">
        <f t="shared" si="82"/>
        <v>43.200000000000074</v>
      </c>
      <c r="BA216" s="87">
        <f t="shared" si="83"/>
        <v>19.362088068208621</v>
      </c>
    </row>
    <row r="217" spans="41:53" x14ac:dyDescent="0.25">
      <c r="AO217" s="87">
        <f t="shared" si="72"/>
        <v>43.400000000000077</v>
      </c>
      <c r="AP217" s="126" t="str">
        <f t="shared" si="74"/>
        <v>0.0001-0.877603686635943i</v>
      </c>
      <c r="AQ217" s="105" t="str">
        <f t="shared" si="75"/>
        <v>0.000001-0.0560313574213492i</v>
      </c>
      <c r="AR217" s="105" t="str">
        <f t="shared" si="76"/>
        <v>0.0243176091208656+105.538423584557i</v>
      </c>
      <c r="AS217" s="93" t="str">
        <f t="shared" si="73"/>
        <v>19.8528960862747+0.0001i</v>
      </c>
      <c r="AT217" s="87"/>
      <c r="AU217" s="87" t="str">
        <f t="shared" si="77"/>
        <v>0.0243186091208656+105.482392227136i</v>
      </c>
      <c r="AV217" s="87" t="str">
        <f t="shared" si="78"/>
        <v>0.472246580616563+2094.13097424886i</v>
      </c>
      <c r="AW217" s="87" t="str">
        <f t="shared" si="79"/>
        <v>19.8772146953956+105.482492227136i</v>
      </c>
      <c r="AX217" s="87" t="str">
        <f t="shared" si="80"/>
        <v>19.1728921362364+3.60847984064883i</v>
      </c>
      <c r="AY217" s="87" t="str">
        <f t="shared" si="81"/>
        <v>19.1729921362364+2.73087615401289i</v>
      </c>
      <c r="AZ217" s="87">
        <f t="shared" si="82"/>
        <v>43.400000000000077</v>
      </c>
      <c r="BA217" s="87">
        <f t="shared" si="83"/>
        <v>19.366499736006478</v>
      </c>
    </row>
    <row r="218" spans="41:53" x14ac:dyDescent="0.25">
      <c r="AO218" s="87">
        <f t="shared" si="72"/>
        <v>43.60000000000008</v>
      </c>
      <c r="AP218" s="126" t="str">
        <f t="shared" si="74"/>
        <v>0.0001-0.873577981651375i</v>
      </c>
      <c r="AQ218" s="105" t="str">
        <f t="shared" si="75"/>
        <v>0.000001-0.0557743328460219i</v>
      </c>
      <c r="AR218" s="105" t="str">
        <f t="shared" si="76"/>
        <v>0.0243176091208656+106.024775766974i</v>
      </c>
      <c r="AS218" s="93" t="str">
        <f t="shared" si="73"/>
        <v>19.8528960862747+0.0001i</v>
      </c>
      <c r="AT218" s="87"/>
      <c r="AU218" s="87" t="str">
        <f t="shared" si="77"/>
        <v>0.0243186091208656+105.969001434128i</v>
      </c>
      <c r="AV218" s="87" t="str">
        <f t="shared" si="78"/>
        <v>0.472197919695864+2103.7915762699i</v>
      </c>
      <c r="AW218" s="87" t="str">
        <f t="shared" si="79"/>
        <v>19.8772146953956+105.969101434128i</v>
      </c>
      <c r="AX218" s="87" t="str">
        <f t="shared" si="80"/>
        <v>19.1789109987534+3.59303918287059i</v>
      </c>
      <c r="AY218" s="87" t="str">
        <f t="shared" si="81"/>
        <v>19.1790109987534+2.71946120121921i</v>
      </c>
      <c r="AZ218" s="87">
        <f t="shared" si="82"/>
        <v>43.60000000000008</v>
      </c>
      <c r="BA218" s="87">
        <f t="shared" si="83"/>
        <v>19.370852642959232</v>
      </c>
    </row>
    <row r="219" spans="41:53" x14ac:dyDescent="0.25">
      <c r="AO219" s="87">
        <f t="shared" si="72"/>
        <v>43.800000000000082</v>
      </c>
      <c r="AP219" s="126" t="str">
        <f t="shared" si="74"/>
        <v>0.0001-0.869589041095889i</v>
      </c>
      <c r="AQ219" s="105" t="str">
        <f t="shared" si="75"/>
        <v>0.000001-0.0555196555270902i</v>
      </c>
      <c r="AR219" s="105" t="str">
        <f t="shared" si="76"/>
        <v>0.0243176091208656+106.511127949391i</v>
      </c>
      <c r="AS219" s="93" t="str">
        <f t="shared" si="73"/>
        <v>19.8528960862747+0.0001i</v>
      </c>
      <c r="AT219" s="87"/>
      <c r="AU219" s="87" t="str">
        <f t="shared" si="77"/>
        <v>0.0243186091208656+106.455608293864i</v>
      </c>
      <c r="AV219" s="87" t="str">
        <f t="shared" si="78"/>
        <v>0.472149259009891+2113.45213169111i</v>
      </c>
      <c r="AW219" s="87" t="str">
        <f t="shared" si="79"/>
        <v>19.8772146953956+106.455708293864i</v>
      </c>
      <c r="AX219" s="87" t="str">
        <f t="shared" si="80"/>
        <v>19.1848511931498+3.57772507374692i</v>
      </c>
      <c r="AY219" s="87" t="str">
        <f t="shared" si="81"/>
        <v>19.1849511931498+2.70813603265103i</v>
      </c>
      <c r="AZ219" s="87">
        <f t="shared" si="82"/>
        <v>43.800000000000082</v>
      </c>
      <c r="BA219" s="87">
        <f t="shared" si="83"/>
        <v>19.375147820207278</v>
      </c>
    </row>
    <row r="220" spans="41:53" x14ac:dyDescent="0.25">
      <c r="AO220" s="87">
        <f t="shared" si="72"/>
        <v>44.000000000000085</v>
      </c>
      <c r="AP220" s="126" t="str">
        <f t="shared" si="74"/>
        <v>0.0001-0.865636363636362i</v>
      </c>
      <c r="AQ220" s="105" t="str">
        <f t="shared" si="75"/>
        <v>0.000001-0.0552672934565126i</v>
      </c>
      <c r="AR220" s="105" t="str">
        <f t="shared" si="76"/>
        <v>0.0243176091208656+106.997480131809i</v>
      </c>
      <c r="AS220" s="93" t="str">
        <f t="shared" si="73"/>
        <v>19.8528960862747+0.0001i</v>
      </c>
      <c r="AT220" s="87"/>
      <c r="AU220" s="87" t="str">
        <f t="shared" si="77"/>
        <v>0.0243186091208656+106.942212838352i</v>
      </c>
      <c r="AV220" s="87" t="str">
        <f t="shared" si="78"/>
        <v>0.472100598555442+2123.11264114794i</v>
      </c>
      <c r="AW220" s="87" t="str">
        <f t="shared" si="79"/>
        <v>19.8772146953956+106.942312838352i</v>
      </c>
      <c r="AX220" s="87" t="str">
        <f t="shared" si="80"/>
        <v>19.1907140687286+3.56253603453844i</v>
      </c>
      <c r="AY220" s="87" t="str">
        <f t="shared" si="81"/>
        <v>19.1908140687286+2.69689967090208i</v>
      </c>
      <c r="AZ220" s="87">
        <f t="shared" si="82"/>
        <v>44.000000000000085</v>
      </c>
      <c r="BA220" s="87">
        <f t="shared" si="83"/>
        <v>19.379386276541972</v>
      </c>
    </row>
    <row r="221" spans="41:53" x14ac:dyDescent="0.25">
      <c r="AO221" s="87">
        <f t="shared" si="72"/>
        <v>44.200000000000088</v>
      </c>
      <c r="AP221" s="126" t="str">
        <f t="shared" si="74"/>
        <v>0.0001-0.861719457013573i</v>
      </c>
      <c r="AQ221" s="105" t="str">
        <f t="shared" si="75"/>
        <v>0.000001-0.0550172152055781i</v>
      </c>
      <c r="AR221" s="105" t="str">
        <f t="shared" si="76"/>
        <v>0.0243176091208656+107.483832314226i</v>
      </c>
      <c r="AS221" s="93" t="str">
        <f t="shared" si="73"/>
        <v>19.8528960862747+0.0001i</v>
      </c>
      <c r="AT221" s="87"/>
      <c r="AU221" s="87" t="str">
        <f t="shared" si="77"/>
        <v>0.0243186091208656+107.42881509902i</v>
      </c>
      <c r="AV221" s="87" t="str">
        <f t="shared" si="78"/>
        <v>0.472051938329375+2132.77310526432i</v>
      </c>
      <c r="AW221" s="87" t="str">
        <f t="shared" si="79"/>
        <v>19.8772146953956+107.42891509902i</v>
      </c>
      <c r="AX221" s="87" t="str">
        <f t="shared" si="80"/>
        <v>19.1965009463324+3.54747060808548i</v>
      </c>
      <c r="AY221" s="87" t="str">
        <f t="shared" si="81"/>
        <v>19.1966009463324+2.68575115107191i</v>
      </c>
      <c r="AZ221" s="87">
        <f t="shared" si="82"/>
        <v>44.200000000000088</v>
      </c>
      <c r="BA221" s="87">
        <f t="shared" si="83"/>
        <v>19.383568998979886</v>
      </c>
    </row>
    <row r="222" spans="41:53" x14ac:dyDescent="0.25">
      <c r="AO222" s="87">
        <f t="shared" si="72"/>
        <v>44.400000000000091</v>
      </c>
      <c r="AP222" s="126" t="str">
        <f t="shared" si="74"/>
        <v>0.0001-0.857837837837836i</v>
      </c>
      <c r="AQ222" s="105" t="str">
        <f t="shared" si="75"/>
        <v>0.000001-0.0547693899118593i</v>
      </c>
      <c r="AR222" s="105" t="str">
        <f t="shared" si="76"/>
        <v>0.0243176091208656+107.970184496643i</v>
      </c>
      <c r="AS222" s="93" t="str">
        <f t="shared" si="73"/>
        <v>19.8528960862747+0.0001i</v>
      </c>
      <c r="AT222" s="87"/>
      <c r="AU222" s="87" t="str">
        <f t="shared" si="77"/>
        <v>0.0243186091208656+107.915415106731i</v>
      </c>
      <c r="AV222" s="87" t="str">
        <f t="shared" si="78"/>
        <v>0.472003278328604+2142.43352465299i</v>
      </c>
      <c r="AW222" s="87" t="str">
        <f t="shared" si="79"/>
        <v>19.8772146953956+107.915515106731i</v>
      </c>
      <c r="AX222" s="87" t="str">
        <f t="shared" si="80"/>
        <v>19.2022131190519+3.53252735845052i</v>
      </c>
      <c r="AY222" s="87" t="str">
        <f t="shared" si="81"/>
        <v>19.2023131190519+2.67468952061268i</v>
      </c>
      <c r="AZ222" s="87">
        <f t="shared" si="82"/>
        <v>44.400000000000091</v>
      </c>
      <c r="BA222" s="87">
        <f t="shared" si="83"/>
        <v>19.387696953320372</v>
      </c>
    </row>
    <row r="223" spans="41:53" x14ac:dyDescent="0.25">
      <c r="AO223" s="87">
        <f t="shared" si="72"/>
        <v>44.600000000000094</v>
      </c>
      <c r="AP223" s="126" t="str">
        <f t="shared" si="74"/>
        <v>0.0001-0.853991031390133i</v>
      </c>
      <c r="AQ223" s="105" t="str">
        <f t="shared" si="75"/>
        <v>0.000001-0.0545237872665146i</v>
      </c>
      <c r="AR223" s="105" t="str">
        <f t="shared" si="76"/>
        <v>0.0243176091208656+108.456536679061i</v>
      </c>
      <c r="AS223" s="93" t="str">
        <f t="shared" si="73"/>
        <v>19.8528960862747+0.0001i</v>
      </c>
      <c r="AT223" s="87"/>
      <c r="AU223" s="87" t="str">
        <f t="shared" si="77"/>
        <v>0.0243186091208656+108.402012891794i</v>
      </c>
      <c r="AV223" s="87" t="str">
        <f t="shared" si="78"/>
        <v>0.471954618550098+2152.09389991566i</v>
      </c>
      <c r="AW223" s="87" t="str">
        <f t="shared" si="79"/>
        <v>19.8772146953956+108.402112891794i</v>
      </c>
      <c r="AX223" s="87" t="str">
        <f t="shared" si="80"/>
        <v>19.2078518529134+3.51770487056648i</v>
      </c>
      <c r="AY223" s="87" t="str">
        <f t="shared" si="81"/>
        <v>19.2079518529134+2.66371383917635i</v>
      </c>
      <c r="AZ223" s="87">
        <f t="shared" si="82"/>
        <v>44.600000000000094</v>
      </c>
      <c r="BA223" s="87">
        <f t="shared" si="83"/>
        <v>19.391771084685868</v>
      </c>
    </row>
    <row r="224" spans="41:53" x14ac:dyDescent="0.25">
      <c r="AO224" s="87">
        <f t="shared" si="72"/>
        <v>44.800000000000097</v>
      </c>
      <c r="AP224" s="126" t="str">
        <f t="shared" si="74"/>
        <v>0.0001-0.85017857142857i</v>
      </c>
      <c r="AQ224" s="105" t="str">
        <f t="shared" si="75"/>
        <v>0.000001-0.054280377501932i</v>
      </c>
      <c r="AR224" s="105" t="str">
        <f t="shared" si="76"/>
        <v>0.0243176091208656+108.942888861478i</v>
      </c>
      <c r="AS224" s="93" t="str">
        <f t="shared" si="73"/>
        <v>19.8528960862747+0.0001i</v>
      </c>
      <c r="AT224" s="87"/>
      <c r="AU224" s="87" t="str">
        <f t="shared" si="77"/>
        <v>0.0243186091208656+108.888608483976i</v>
      </c>
      <c r="AV224" s="87" t="str">
        <f t="shared" si="78"/>
        <v>0.471905958990879+2161.75423164329i</v>
      </c>
      <c r="AW224" s="87" t="str">
        <f t="shared" si="79"/>
        <v>19.8772146953956+108.888708483976i</v>
      </c>
      <c r="AX224" s="87" t="str">
        <f t="shared" si="80"/>
        <v>19.2134183875478+3.50300174989118i</v>
      </c>
      <c r="AY224" s="87" t="str">
        <f t="shared" si="81"/>
        <v>19.2135183875478+2.65282317846261i</v>
      </c>
      <c r="AZ224" s="87">
        <f t="shared" si="82"/>
        <v>44.800000000000097</v>
      </c>
      <c r="BA224" s="87">
        <f t="shared" si="83"/>
        <v>19.395792318047384</v>
      </c>
    </row>
    <row r="225" spans="41:53" x14ac:dyDescent="0.25">
      <c r="AO225" s="87">
        <f t="shared" si="72"/>
        <v>45.000000000000099</v>
      </c>
      <c r="AP225" s="126" t="str">
        <f t="shared" si="74"/>
        <v>0.0001-0.846399999999998i</v>
      </c>
      <c r="AQ225" s="105" t="str">
        <f t="shared" si="75"/>
        <v>0.000001-0.0540391313797012i</v>
      </c>
      <c r="AR225" s="105" t="str">
        <f t="shared" si="76"/>
        <v>0.0243176091208656+109.429241043895i</v>
      </c>
      <c r="AS225" s="93" t="str">
        <f t="shared" si="73"/>
        <v>19.8528960862747+0.0001i</v>
      </c>
      <c r="AT225" s="87"/>
      <c r="AU225" s="87" t="str">
        <f t="shared" si="77"/>
        <v>0.0243186091208656+109.375201912515i</v>
      </c>
      <c r="AV225" s="87" t="str">
        <f t="shared" si="78"/>
        <v>0.471857299648025+2171.41452041634i</v>
      </c>
      <c r="AW225" s="87" t="str">
        <f t="shared" si="79"/>
        <v>19.8772146953956+109.375301912515i</v>
      </c>
      <c r="AX225" s="87" t="str">
        <f t="shared" si="80"/>
        <v>19.21891393684+3.48841662206735i</v>
      </c>
      <c r="AY225" s="87" t="str">
        <f t="shared" si="81"/>
        <v>19.21901393684+2.64201662206735i</v>
      </c>
      <c r="AZ225" s="87">
        <f t="shared" si="82"/>
        <v>45.000000000000099</v>
      </c>
      <c r="BA225" s="87">
        <f t="shared" si="83"/>
        <v>19.399761558733918</v>
      </c>
    </row>
    <row r="226" spans="41:53" x14ac:dyDescent="0.25">
      <c r="AO226" s="87">
        <f t="shared" si="72"/>
        <v>45.200000000000102</v>
      </c>
      <c r="AP226" s="126" t="str">
        <f t="shared" si="74"/>
        <v>0.0001-0.842654867256635i</v>
      </c>
      <c r="AQ226" s="105" t="str">
        <f t="shared" si="75"/>
        <v>0.000001-0.053800020178906i</v>
      </c>
      <c r="AR226" s="105" t="str">
        <f t="shared" si="76"/>
        <v>0.0243176091208656+109.915593226313i</v>
      </c>
      <c r="AS226" s="93" t="str">
        <f t="shared" si="73"/>
        <v>19.8528960862747+0.0001i</v>
      </c>
      <c r="AT226" s="87"/>
      <c r="AU226" s="87" t="str">
        <f t="shared" si="77"/>
        <v>0.0243186091208656+109.861793206134i</v>
      </c>
      <c r="AV226" s="87" t="str">
        <f t="shared" si="78"/>
        <v>0.471808640518664+2181.07476680504i</v>
      </c>
      <c r="AW226" s="87" t="str">
        <f t="shared" si="79"/>
        <v>19.8772146953956+109.861893206134i</v>
      </c>
      <c r="AX226" s="87" t="str">
        <f t="shared" si="80"/>
        <v>19.2243396895602+3.47394813258849i</v>
      </c>
      <c r="AY226" s="87" t="str">
        <f t="shared" si="81"/>
        <v>19.2244396895602+2.63129326533186i</v>
      </c>
      <c r="AZ226" s="87">
        <f t="shared" si="82"/>
        <v>45.200000000000102</v>
      </c>
      <c r="BA226" s="87">
        <f t="shared" si="83"/>
        <v>19.403679692927273</v>
      </c>
    </row>
    <row r="227" spans="41:53" x14ac:dyDescent="0.25">
      <c r="AO227" s="87">
        <f t="shared" si="72"/>
        <v>45.400000000000105</v>
      </c>
      <c r="AP227" s="126" t="str">
        <f t="shared" si="74"/>
        <v>0.0001-0.838942731277531i</v>
      </c>
      <c r="AQ227" s="105" t="str">
        <f t="shared" si="75"/>
        <v>0.000001-0.0535630156847258i</v>
      </c>
      <c r="AR227" s="105" t="str">
        <f t="shared" si="76"/>
        <v>0.0243176091208656+110.40194540873i</v>
      </c>
      <c r="AS227" s="93" t="str">
        <f t="shared" ref="AS227:AS250" si="84">COMPLEX($D$17,0.0001)</f>
        <v>19.8528960862747+0.0001i</v>
      </c>
      <c r="AT227" s="87"/>
      <c r="AU227" s="87" t="str">
        <f t="shared" si="77"/>
        <v>0.0243186091208656+110.348382393045i</v>
      </c>
      <c r="AV227" s="87" t="str">
        <f t="shared" si="78"/>
        <v>0.471759981599972+2190.73497136949i</v>
      </c>
      <c r="AW227" s="87" t="str">
        <f t="shared" si="79"/>
        <v>19.8772146953956+110.348482393045i</v>
      </c>
      <c r="AX227" s="87" t="str">
        <f t="shared" si="80"/>
        <v>19.2296968099774+3.45959494647066i</v>
      </c>
      <c r="AY227" s="87" t="str">
        <f t="shared" si="81"/>
        <v>19.2297968099774+2.62065221519313i</v>
      </c>
      <c r="AZ227" s="87">
        <f t="shared" si="82"/>
        <v>45.400000000000105</v>
      </c>
      <c r="BA227" s="87">
        <f t="shared" si="83"/>
        <v>19.407547588142446</v>
      </c>
    </row>
    <row r="228" spans="41:53" x14ac:dyDescent="0.25">
      <c r="AO228" s="87">
        <f t="shared" si="72"/>
        <v>45.600000000000108</v>
      </c>
      <c r="AP228" s="126" t="str">
        <f t="shared" si="74"/>
        <v>0.0001-0.835263157894735i</v>
      </c>
      <c r="AQ228" s="105" t="str">
        <f t="shared" si="75"/>
        <v>0.000001-0.0533280901773367i</v>
      </c>
      <c r="AR228" s="105" t="str">
        <f t="shared" si="76"/>
        <v>0.0243176091208656+110.888297591147i</v>
      </c>
      <c r="AS228" s="93" t="str">
        <f t="shared" si="84"/>
        <v>19.8528960862747+0.0001i</v>
      </c>
      <c r="AT228" s="87"/>
      <c r="AU228" s="87" t="str">
        <f t="shared" si="77"/>
        <v>0.0243186091208656+110.83496950097i</v>
      </c>
      <c r="AV228" s="87" t="str">
        <f t="shared" si="78"/>
        <v>0.47171132288918+2200.39513466004i</v>
      </c>
      <c r="AW228" s="87" t="str">
        <f t="shared" si="79"/>
        <v>19.8772146953956+110.83506950097i</v>
      </c>
      <c r="AX228" s="87" t="str">
        <f t="shared" si="80"/>
        <v>19.2349864384555+3.44535574792933i</v>
      </c>
      <c r="AY228" s="87" t="str">
        <f t="shared" si="81"/>
        <v>19.2350864384555+2.6100925900346i</v>
      </c>
      <c r="AZ228" s="87">
        <f t="shared" si="82"/>
        <v>45.600000000000108</v>
      </c>
      <c r="BA228" s="87">
        <f t="shared" si="83"/>
        <v>19.411366093693879</v>
      </c>
    </row>
    <row r="229" spans="41:53" x14ac:dyDescent="0.25">
      <c r="AO229" s="87">
        <f t="shared" si="72"/>
        <v>45.800000000000111</v>
      </c>
      <c r="AP229" s="126" t="str">
        <f t="shared" si="74"/>
        <v>0.0001-0.831615720524016i</v>
      </c>
      <c r="AQ229" s="105" t="str">
        <f t="shared" si="75"/>
        <v>0.000001-0.0530952164211037i</v>
      </c>
      <c r="AR229" s="105" t="str">
        <f t="shared" si="76"/>
        <v>0.0243176091208656+111.374649773565i</v>
      </c>
      <c r="AS229" s="93" t="str">
        <f t="shared" si="84"/>
        <v>19.8528960862747+0.0001i</v>
      </c>
      <c r="AT229" s="87"/>
      <c r="AU229" s="87" t="str">
        <f t="shared" si="77"/>
        <v>0.0243186091208656+111.321554557144i</v>
      </c>
      <c r="AV229" s="87" t="str">
        <f t="shared" si="78"/>
        <v>0.471662664383563+2210.0552572174i</v>
      </c>
      <c r="AW229" s="87" t="str">
        <f t="shared" si="79"/>
        <v>19.8772146953956+111.321654557144i</v>
      </c>
      <c r="AX229" s="87" t="str">
        <f t="shared" si="80"/>
        <v>19.2402096920334+3.43122924006238i</v>
      </c>
      <c r="AY229" s="87" t="str">
        <f t="shared" si="81"/>
        <v>19.2403096920334+2.59961351953836i</v>
      </c>
      <c r="AZ229" s="87">
        <f t="shared" si="82"/>
        <v>45.800000000000111</v>
      </c>
      <c r="BA229" s="87">
        <f t="shared" si="83"/>
        <v>19.415136041148951</v>
      </c>
    </row>
    <row r="230" spans="41:53" x14ac:dyDescent="0.25">
      <c r="AO230" s="87">
        <f t="shared" si="72"/>
        <v>46.000000000000114</v>
      </c>
      <c r="AP230" s="126" t="str">
        <f t="shared" si="74"/>
        <v>0.0001-0.827999999999998i</v>
      </c>
      <c r="AQ230" s="105" t="str">
        <f t="shared" si="75"/>
        <v>0.000001-0.0528643676540555i</v>
      </c>
      <c r="AR230" s="105" t="str">
        <f t="shared" si="76"/>
        <v>0.0243176091208656+111.861001955982i</v>
      </c>
      <c r="AS230" s="93" t="str">
        <f t="shared" si="84"/>
        <v>19.8528960862747+0.0001i</v>
      </c>
      <c r="AT230" s="87"/>
      <c r="AU230" s="87" t="str">
        <f t="shared" si="77"/>
        <v>0.0243186091208656+111.808137588328i</v>
      </c>
      <c r="AV230" s="87" t="str">
        <f t="shared" si="78"/>
        <v>0.471614006080444+2219.71533957284i</v>
      </c>
      <c r="AW230" s="87" t="str">
        <f t="shared" si="79"/>
        <v>19.8772146953956+111.808237588328i</v>
      </c>
      <c r="AX230" s="87" t="str">
        <f t="shared" si="80"/>
        <v>19.2453676649881+3.41721414453811i</v>
      </c>
      <c r="AY230" s="87" t="str">
        <f t="shared" si="81"/>
        <v>19.2454676649881+2.58921414453811i</v>
      </c>
      <c r="AZ230" s="87">
        <f t="shared" si="82"/>
        <v>46.000000000000114</v>
      </c>
      <c r="BA230" s="87">
        <f t="shared" si="83"/>
        <v>19.418858244767605</v>
      </c>
    </row>
    <row r="231" spans="41:53" x14ac:dyDescent="0.25">
      <c r="AO231" s="87">
        <f t="shared" si="72"/>
        <v>46.200000000000117</v>
      </c>
      <c r="AP231" s="126" t="str">
        <f t="shared" si="74"/>
        <v>0.0001-0.824415584415582i</v>
      </c>
      <c r="AQ231" s="105" t="str">
        <f t="shared" si="75"/>
        <v>0.000001-0.052635517577631i</v>
      </c>
      <c r="AR231" s="105" t="str">
        <f t="shared" si="76"/>
        <v>0.0243176091208656+112.347354138399i</v>
      </c>
      <c r="AS231" s="93" t="str">
        <f t="shared" si="84"/>
        <v>19.8528960862747+0.0001i</v>
      </c>
      <c r="AT231" s="87"/>
      <c r="AU231" s="87" t="str">
        <f t="shared" si="77"/>
        <v>0.0243186091208656+112.294718620821i</v>
      </c>
      <c r="AV231" s="87" t="str">
        <f t="shared" si="78"/>
        <v>0.471565347977195+2229.37538224848i</v>
      </c>
      <c r="AW231" s="87" t="str">
        <f t="shared" si="79"/>
        <v>19.8772146953956+112.294818620821i</v>
      </c>
      <c r="AX231" s="87" t="str">
        <f t="shared" si="80"/>
        <v>19.2504614293828+3.40330920128879i</v>
      </c>
      <c r="AY231" s="87" t="str">
        <f t="shared" si="81"/>
        <v>19.2505614293828+2.57889361687321i</v>
      </c>
      <c r="AZ231" s="87">
        <f t="shared" si="82"/>
        <v>46.200000000000117</v>
      </c>
      <c r="BA231" s="87">
        <f t="shared" si="83"/>
        <v>19.422533501929919</v>
      </c>
    </row>
    <row r="232" spans="41:53" x14ac:dyDescent="0.25">
      <c r="AO232" s="87">
        <f t="shared" si="72"/>
        <v>46.400000000000119</v>
      </c>
      <c r="AP232" s="126" t="str">
        <f t="shared" si="74"/>
        <v>0.0001-0.820862068965515i</v>
      </c>
      <c r="AQ232" s="105" t="str">
        <f t="shared" si="75"/>
        <v>0.000001-0.0524086403466929i</v>
      </c>
      <c r="AR232" s="105" t="str">
        <f t="shared" si="76"/>
        <v>0.0243176091208656+112.833706320817i</v>
      </c>
      <c r="AS232" s="93" t="str">
        <f t="shared" si="84"/>
        <v>19.8528960862747+0.0001i</v>
      </c>
      <c r="AT232" s="87"/>
      <c r="AU232" s="87" t="str">
        <f t="shared" si="77"/>
        <v>0.0243186091208656+112.78129768047i</v>
      </c>
      <c r="AV232" s="87" t="str">
        <f t="shared" si="78"/>
        <v>0.47151669007123+2239.03538575745i</v>
      </c>
      <c r="AW232" s="87" t="str">
        <f t="shared" si="79"/>
        <v>19.8772146953956+112.78139768047i</v>
      </c>
      <c r="AX232" s="87" t="str">
        <f t="shared" si="80"/>
        <v>19.2554920355996+3.38951316820947i</v>
      </c>
      <c r="AY232" s="87" t="str">
        <f t="shared" si="81"/>
        <v>19.2555920355996+2.56865109924395i</v>
      </c>
      <c r="AZ232" s="87">
        <f t="shared" si="82"/>
        <v>46.400000000000119</v>
      </c>
      <c r="BA232" s="87">
        <f t="shared" si="83"/>
        <v>19.426162593551354</v>
      </c>
    </row>
    <row r="233" spans="41:53" x14ac:dyDescent="0.25">
      <c r="AO233" s="87">
        <f t="shared" si="72"/>
        <v>46.600000000000122</v>
      </c>
      <c r="AP233" s="126" t="str">
        <f t="shared" si="74"/>
        <v>0.0001-0.817339055793989i</v>
      </c>
      <c r="AQ233" s="105" t="str">
        <f t="shared" si="75"/>
        <v>0.000001-0.0521837105597972i</v>
      </c>
      <c r="AR233" s="105" t="str">
        <f t="shared" si="76"/>
        <v>0.0243176091208656+113.320058503234i</v>
      </c>
      <c r="AS233" s="93" t="str">
        <f t="shared" si="84"/>
        <v>19.8528960862747+0.0001i</v>
      </c>
      <c r="AT233" s="87"/>
      <c r="AU233" s="87" t="str">
        <f t="shared" si="77"/>
        <v>0.0243186091208656+113.267874792674i</v>
      </c>
      <c r="AV233" s="87" t="str">
        <f t="shared" si="78"/>
        <v>0.47146803236001+2248.69535060399i</v>
      </c>
      <c r="AW233" s="87" t="str">
        <f t="shared" si="79"/>
        <v>19.8772146953956+113.267974792674i</v>
      </c>
      <c r="AX233" s="87" t="str">
        <f t="shared" si="80"/>
        <v>19.2604605128578+3.3758248208622i</v>
      </c>
      <c r="AY233" s="87" t="str">
        <f t="shared" si="81"/>
        <v>19.2605605128578+2.55848576506821i</v>
      </c>
      <c r="AZ233" s="87">
        <f t="shared" si="82"/>
        <v>46.600000000000122</v>
      </c>
      <c r="BA233" s="87">
        <f t="shared" si="83"/>
        <v>19.42974628448642</v>
      </c>
    </row>
    <row r="234" spans="41:53" x14ac:dyDescent="0.25">
      <c r="AO234" s="87">
        <f t="shared" si="72"/>
        <v>46.800000000000125</v>
      </c>
      <c r="AP234" s="126" t="str">
        <f t="shared" si="74"/>
        <v>0.0001-0.813846153846152i</v>
      </c>
      <c r="AQ234" s="105" t="str">
        <f t="shared" si="75"/>
        <v>0.000001-0.0519607032497126i</v>
      </c>
      <c r="AR234" s="105" t="str">
        <f t="shared" si="76"/>
        <v>0.0243176091208656+113.806410685651i</v>
      </c>
      <c r="AS234" s="93" t="str">
        <f t="shared" si="84"/>
        <v>19.8528960862747+0.0001i</v>
      </c>
      <c r="AT234" s="87"/>
      <c r="AU234" s="87" t="str">
        <f t="shared" si="77"/>
        <v>0.0243186091208656+113.754449982401i</v>
      </c>
      <c r="AV234" s="87" t="str">
        <f t="shared" si="78"/>
        <v>0.471419374841037+2258.3552772838i</v>
      </c>
      <c r="AW234" s="87" t="str">
        <f t="shared" si="79"/>
        <v>19.8772146953956+113.754549982401i</v>
      </c>
      <c r="AX234" s="87" t="str">
        <f t="shared" si="80"/>
        <v>19.2653678697176+3.36224295218507i</v>
      </c>
      <c r="AY234" s="87" t="str">
        <f t="shared" si="81"/>
        <v>19.2654678697176+2.54839679833892i</v>
      </c>
      <c r="AZ234" s="87">
        <f t="shared" si="82"/>
        <v>46.800000000000125</v>
      </c>
      <c r="BA234" s="87">
        <f t="shared" si="83"/>
        <v>19.433285323920536</v>
      </c>
    </row>
    <row r="235" spans="41:53" x14ac:dyDescent="0.25">
      <c r="AO235" s="87">
        <f t="shared" si="72"/>
        <v>47.000000000000128</v>
      </c>
      <c r="AP235" s="126" t="str">
        <f t="shared" si="74"/>
        <v>0.0001-0.810382978723402i</v>
      </c>
      <c r="AQ235" s="105" t="str">
        <f t="shared" si="75"/>
        <v>0.000001-0.0517395938741819i</v>
      </c>
      <c r="AR235" s="105" t="str">
        <f t="shared" si="76"/>
        <v>0.0243176091208656+114.292762868069i</v>
      </c>
      <c r="AS235" s="93" t="str">
        <f t="shared" si="84"/>
        <v>19.8528960862747+0.0001i</v>
      </c>
      <c r="AT235" s="87"/>
      <c r="AU235" s="87" t="str">
        <f t="shared" si="77"/>
        <v>0.0243186091208656+114.241023274195i</v>
      </c>
      <c r="AV235" s="87" t="str">
        <f t="shared" si="78"/>
        <v>0.471370717511857+2268.01516628414i</v>
      </c>
      <c r="AW235" s="87" t="str">
        <f t="shared" si="79"/>
        <v>19.8772146953956+114.241123274195i</v>
      </c>
      <c r="AX235" s="87" t="str">
        <f t="shared" si="80"/>
        <v>19.2702150945704+3.34876637220646i</v>
      </c>
      <c r="AY235" s="87" t="str">
        <f t="shared" si="81"/>
        <v>19.2703150945704+2.53838339348306i</v>
      </c>
      <c r="AZ235" s="87">
        <f t="shared" si="82"/>
        <v>47.000000000000128</v>
      </c>
      <c r="BA235" s="87">
        <f t="shared" si="83"/>
        <v>19.436780445751253</v>
      </c>
    </row>
    <row r="236" spans="41:53" x14ac:dyDescent="0.25">
      <c r="AO236" s="87">
        <f t="shared" si="72"/>
        <v>47.200000000000131</v>
      </c>
      <c r="AP236" s="126" t="str">
        <f t="shared" si="74"/>
        <v>0.0001-0.806949152542371i</v>
      </c>
      <c r="AQ236" s="105" t="str">
        <f t="shared" si="75"/>
        <v>0.000001-0.0515203583069185i</v>
      </c>
      <c r="AR236" s="105" t="str">
        <f t="shared" si="76"/>
        <v>0.0243176091208656+114.779115050486i</v>
      </c>
      <c r="AS236" s="93" t="str">
        <f t="shared" si="84"/>
        <v>19.8528960862747+0.0001i</v>
      </c>
      <c r="AT236" s="87"/>
      <c r="AU236" s="87" t="str">
        <f t="shared" si="77"/>
        <v>0.0243186091208656+114.727594692179i</v>
      </c>
      <c r="AV236" s="87" t="str">
        <f t="shared" si="78"/>
        <v>0.471322060370059+2277.67501808393i</v>
      </c>
      <c r="AW236" s="87" t="str">
        <f t="shared" si="79"/>
        <v>19.8772146953956+114.727694692179i</v>
      </c>
      <c r="AX236" s="87" t="str">
        <f t="shared" si="80"/>
        <v>19.2750031561153+3.33539390776451i</v>
      </c>
      <c r="AY236" s="87" t="str">
        <f t="shared" si="81"/>
        <v>19.2751031561153+2.52844475522214i</v>
      </c>
      <c r="AZ236" s="87">
        <f t="shared" si="82"/>
        <v>47.200000000000131</v>
      </c>
      <c r="BA236" s="87">
        <f t="shared" si="83"/>
        <v>19.440232368958359</v>
      </c>
    </row>
    <row r="237" spans="41:53" x14ac:dyDescent="0.25">
      <c r="AO237" s="87">
        <f t="shared" si="72"/>
        <v>47.400000000000134</v>
      </c>
      <c r="AP237" s="126" t="str">
        <f t="shared" si="74"/>
        <v>0.0001-0.803544303797466i</v>
      </c>
      <c r="AQ237" s="105" t="str">
        <f t="shared" si="75"/>
        <v>0.000001-0.0513029728288302i</v>
      </c>
      <c r="AR237" s="105" t="str">
        <f t="shared" si="76"/>
        <v>0.0243176091208656+115.265467232903i</v>
      </c>
      <c r="AS237" s="93" t="str">
        <f t="shared" si="84"/>
        <v>19.8528960862747+0.0001i</v>
      </c>
      <c r="AT237" s="87"/>
      <c r="AU237" s="87" t="str">
        <f t="shared" si="77"/>
        <v>0.0243186091208656+115.214164260074i</v>
      </c>
      <c r="AV237" s="87" t="str">
        <f t="shared" si="78"/>
        <v>0.47127340341327+2287.33483315409i</v>
      </c>
      <c r="AW237" s="87" t="str">
        <f t="shared" si="79"/>
        <v>19.8772146953956+115.214264260074i</v>
      </c>
      <c r="AX237" s="87" t="str">
        <f t="shared" si="80"/>
        <v>19.279733003823+3.32212440223098i</v>
      </c>
      <c r="AY237" s="87" t="str">
        <f t="shared" si="81"/>
        <v>19.279833003823+2.51858009843351i</v>
      </c>
      <c r="AZ237" s="87">
        <f t="shared" si="82"/>
        <v>47.400000000000134</v>
      </c>
      <c r="BA237" s="87">
        <f t="shared" si="83"/>
        <v>19.443641797963878</v>
      </c>
    </row>
    <row r="238" spans="41:53" x14ac:dyDescent="0.25">
      <c r="AO238" s="87">
        <f t="shared" si="72"/>
        <v>47.600000000000136</v>
      </c>
      <c r="AP238" s="126" t="str">
        <f t="shared" si="74"/>
        <v>0.0001-0.800168067226889i</v>
      </c>
      <c r="AQ238" s="105" t="str">
        <f t="shared" si="75"/>
        <v>0.000001-0.0510874141194653i</v>
      </c>
      <c r="AR238" s="105" t="str">
        <f t="shared" si="76"/>
        <v>0.0243176091208656+115.75181941532i</v>
      </c>
      <c r="AS238" s="93" t="str">
        <f t="shared" si="84"/>
        <v>19.8528960862747+0.0001i</v>
      </c>
      <c r="AT238" s="87"/>
      <c r="AU238" s="87" t="str">
        <f t="shared" si="77"/>
        <v>0.0243186091208656+115.700732001201i</v>
      </c>
      <c r="AV238" s="87" t="str">
        <f t="shared" si="78"/>
        <v>0.471224746639157+2296.99461195762i</v>
      </c>
      <c r="AW238" s="87" t="str">
        <f t="shared" si="79"/>
        <v>19.8772146953956+115.700832001201i</v>
      </c>
      <c r="AX238" s="87" t="str">
        <f t="shared" si="80"/>
        <v>19.2844055683874+3.30895671524044i</v>
      </c>
      <c r="AY238" s="87" t="str">
        <f t="shared" si="81"/>
        <v>19.2845055683874+2.50878864801355i</v>
      </c>
      <c r="AZ238" s="87">
        <f t="shared" si="82"/>
        <v>47.600000000000136</v>
      </c>
      <c r="BA238" s="87">
        <f t="shared" si="83"/>
        <v>19.447009422982401</v>
      </c>
    </row>
    <row r="239" spans="41:53" x14ac:dyDescent="0.25">
      <c r="AO239" s="87">
        <f t="shared" si="72"/>
        <v>47.800000000000139</v>
      </c>
      <c r="AP239" s="126" t="str">
        <f t="shared" si="74"/>
        <v>0.0001-0.796820083682006i</v>
      </c>
      <c r="AQ239" s="105" t="str">
        <f t="shared" si="75"/>
        <v>0.000001-0.0508736592486726i</v>
      </c>
      <c r="AR239" s="105" t="str">
        <f t="shared" si="76"/>
        <v>0.0243176091208656+116.238171597738i</v>
      </c>
      <c r="AS239" s="93" t="str">
        <f t="shared" si="84"/>
        <v>19.8528960862747+0.0001i</v>
      </c>
      <c r="AT239" s="87"/>
      <c r="AU239" s="87" t="str">
        <f t="shared" si="77"/>
        <v>0.0243186091208656+116.187297938489i</v>
      </c>
      <c r="AV239" s="87" t="str">
        <f t="shared" si="78"/>
        <v>0.471176090045428+2306.65435494972i</v>
      </c>
      <c r="AW239" s="87" t="str">
        <f t="shared" si="79"/>
        <v>19.8772146953956+116.187397938489i</v>
      </c>
      <c r="AX239" s="87" t="str">
        <f t="shared" si="80"/>
        <v>19.2890217621642+3.29588972242398i</v>
      </c>
      <c r="AY239" s="87" t="str">
        <f t="shared" si="81"/>
        <v>19.2891217621642+2.49906963874197i</v>
      </c>
      <c r="AZ239" s="87">
        <f t="shared" si="82"/>
        <v>47.800000000000139</v>
      </c>
      <c r="BA239" s="87">
        <f t="shared" si="83"/>
        <v>19.450335920360821</v>
      </c>
    </row>
    <row r="240" spans="41:53" x14ac:dyDescent="0.25">
      <c r="AO240" s="87">
        <f t="shared" si="72"/>
        <v>48.000000000000142</v>
      </c>
      <c r="AP240" s="126" t="str">
        <f t="shared" si="74"/>
        <v>0.0001-0.793499999999998i</v>
      </c>
      <c r="AQ240" s="105" t="str">
        <f t="shared" si="75"/>
        <v>0.000001-0.0506616856684698i</v>
      </c>
      <c r="AR240" s="105" t="str">
        <f t="shared" si="76"/>
        <v>0.0243176091208656+116.724523780155i</v>
      </c>
      <c r="AS240" s="93" t="str">
        <f t="shared" si="84"/>
        <v>19.8528960862747+0.0001i</v>
      </c>
      <c r="AT240" s="87"/>
      <c r="AU240" s="87" t="str">
        <f t="shared" si="77"/>
        <v>0.0243186091208656+116.673862094487i</v>
      </c>
      <c r="AV240" s="87" t="str">
        <f t="shared" si="78"/>
        <v>0.471127433629828+2316.31406257806i</v>
      </c>
      <c r="AW240" s="87" t="str">
        <f t="shared" si="79"/>
        <v>19.8772146953956+116.673962094487i</v>
      </c>
      <c r="AX240" s="87" t="str">
        <f t="shared" si="80"/>
        <v>19.2935824795988+3.28292231514761i</v>
      </c>
      <c r="AY240" s="87" t="str">
        <f t="shared" si="81"/>
        <v>19.2936824795988+2.48942231514761i</v>
      </c>
      <c r="AZ240" s="87">
        <f t="shared" si="82"/>
        <v>48.000000000000142</v>
      </c>
      <c r="BA240" s="87">
        <f t="shared" si="83"/>
        <v>19.45362195290976</v>
      </c>
    </row>
    <row r="241" spans="41:53" x14ac:dyDescent="0.25">
      <c r="AO241" s="87">
        <f t="shared" si="72"/>
        <v>48.200000000000145</v>
      </c>
      <c r="AP241" s="126" t="str">
        <f t="shared" si="74"/>
        <v>0.0001-0.790207468879666i</v>
      </c>
      <c r="AQ241" s="105" t="str">
        <f t="shared" si="75"/>
        <v>0.000001-0.0504514712051152i</v>
      </c>
      <c r="AR241" s="105" t="str">
        <f t="shared" si="76"/>
        <v>0.0243176091208656+117.210875962572i</v>
      </c>
      <c r="AS241" s="93" t="str">
        <f t="shared" si="84"/>
        <v>19.8528960862747+0.0001i</v>
      </c>
      <c r="AT241" s="87"/>
      <c r="AU241" s="87" t="str">
        <f t="shared" si="77"/>
        <v>0.0243186091208656+117.160424491367i</v>
      </c>
      <c r="AV241" s="87" t="str">
        <f t="shared" si="78"/>
        <v>0.47107877739014+2325.9737352828i</v>
      </c>
      <c r="AW241" s="87" t="str">
        <f t="shared" si="79"/>
        <v>19.8772146953956+117.160524491367i</v>
      </c>
      <c r="AX241" s="87" t="str">
        <f t="shared" si="80"/>
        <v>19.2980885976412+3.27005340025531i</v>
      </c>
      <c r="AY241" s="87" t="str">
        <f t="shared" si="81"/>
        <v>19.2981885976412+2.47984593137564i</v>
      </c>
      <c r="AZ241" s="87">
        <f t="shared" si="82"/>
        <v>48.200000000000145</v>
      </c>
      <c r="BA241" s="87">
        <f t="shared" si="83"/>
        <v>19.456868170224343</v>
      </c>
    </row>
    <row r="242" spans="41:53" x14ac:dyDescent="0.25">
      <c r="AO242" s="87">
        <f t="shared" si="72"/>
        <v>48.400000000000148</v>
      </c>
      <c r="AP242" s="126" t="str">
        <f t="shared" si="74"/>
        <v>0.0001-0.786942148760328i</v>
      </c>
      <c r="AQ242" s="105" t="str">
        <f t="shared" si="75"/>
        <v>0.000001-0.050242994051375i</v>
      </c>
      <c r="AR242" s="105" t="str">
        <f t="shared" si="76"/>
        <v>0.0243176091208656+117.69722814499i</v>
      </c>
      <c r="AS242" s="93" t="str">
        <f t="shared" si="84"/>
        <v>19.8528960862747+0.0001i</v>
      </c>
      <c r="AT242" s="87"/>
      <c r="AU242" s="87" t="str">
        <f t="shared" si="77"/>
        <v>0.0243186091208656+117.646985150939i</v>
      </c>
      <c r="AV242" s="87" t="str">
        <f t="shared" si="78"/>
        <v>0.471030121324183+2335.63337349696i</v>
      </c>
      <c r="AW242" s="87" t="str">
        <f t="shared" si="79"/>
        <v>19.8772146953956+117.647085150939i</v>
      </c>
      <c r="AX242" s="87" t="str">
        <f t="shared" si="80"/>
        <v>19.3025409761523+3.25728189981652i</v>
      </c>
      <c r="AY242" s="87" t="str">
        <f t="shared" si="81"/>
        <v>19.3026409761523+2.47033975105619i</v>
      </c>
      <c r="AZ242" s="87">
        <f t="shared" si="82"/>
        <v>48.400000000000148</v>
      </c>
      <c r="BA242" s="87">
        <f t="shared" si="83"/>
        <v>19.46007520899861</v>
      </c>
    </row>
    <row r="243" spans="41:53" x14ac:dyDescent="0.25">
      <c r="AO243" s="87">
        <f t="shared" si="72"/>
        <v>48.600000000000151</v>
      </c>
      <c r="AP243" s="126" t="str">
        <f t="shared" si="74"/>
        <v>0.0001-0.783703703703701i</v>
      </c>
      <c r="AQ243" s="105" t="str">
        <f t="shared" si="75"/>
        <v>0.000001-0.0500362327589825i</v>
      </c>
      <c r="AR243" s="105" t="str">
        <f t="shared" si="76"/>
        <v>0.0243176091208656+118.183580327407i</v>
      </c>
      <c r="AS243" s="93" t="str">
        <f t="shared" si="84"/>
        <v>19.8528960862747+0.0001i</v>
      </c>
      <c r="AT243" s="87"/>
      <c r="AU243" s="87" t="str">
        <f t="shared" si="77"/>
        <v>0.0243186091208656+118.133544094648i</v>
      </c>
      <c r="AV243" s="87" t="str">
        <f t="shared" si="78"/>
        <v>0.470981465429812+2345.29297764626i</v>
      </c>
      <c r="AW243" s="87" t="str">
        <f t="shared" si="79"/>
        <v>19.8772146953956+118.133644094648i</v>
      </c>
      <c r="AX243" s="87" t="str">
        <f t="shared" si="80"/>
        <v>19.3069404582962+3.24460675087825i</v>
      </c>
      <c r="AY243" s="87" t="str">
        <f t="shared" si="81"/>
        <v>19.3070404582962+2.46090304717455i</v>
      </c>
      <c r="AZ243" s="87">
        <f t="shared" si="82"/>
        <v>48.600000000000151</v>
      </c>
      <c r="BA243" s="87">
        <f t="shared" si="83"/>
        <v>19.463243693328184</v>
      </c>
    </row>
    <row r="244" spans="41:53" x14ac:dyDescent="0.25">
      <c r="AO244" s="87">
        <f t="shared" si="72"/>
        <v>48.800000000000153</v>
      </c>
      <c r="AP244" s="126" t="str">
        <f t="shared" si="74"/>
        <v>0.0001-0.780491803278686i</v>
      </c>
      <c r="AQ244" s="105" t="str">
        <f t="shared" si="75"/>
        <v>0.000001-0.0498311662312818i</v>
      </c>
      <c r="AR244" s="105" t="str">
        <f t="shared" si="76"/>
        <v>0.0243176091208656+118.669932509824i</v>
      </c>
      <c r="AS244" s="93" t="str">
        <f t="shared" si="84"/>
        <v>19.8528960862747+0.0001i</v>
      </c>
      <c r="AT244" s="87"/>
      <c r="AU244" s="87" t="str">
        <f t="shared" si="77"/>
        <v>0.0243186091208656+118.620101343593i</v>
      </c>
      <c r="AV244" s="87" t="str">
        <f t="shared" si="78"/>
        <v>0.470932809704918+2354.95254814959i</v>
      </c>
      <c r="AW244" s="87" t="str">
        <f t="shared" si="79"/>
        <v>19.8772146953956+118.620201343593i</v>
      </c>
      <c r="AX244" s="87" t="str">
        <f t="shared" si="80"/>
        <v>19.311287870925+3.2320269052213i</v>
      </c>
      <c r="AY244" s="87" t="str">
        <f t="shared" si="81"/>
        <v>19.311387870925+2.45153510194261i</v>
      </c>
      <c r="AZ244" s="87">
        <f t="shared" si="82"/>
        <v>48.800000000000153</v>
      </c>
      <c r="BA244" s="87">
        <f t="shared" si="83"/>
        <v>19.466374235007553</v>
      </c>
    </row>
    <row r="245" spans="41:53" x14ac:dyDescent="0.25">
      <c r="AO245" s="87">
        <f t="shared" ref="AO245:AO250" si="85">AO244+0.2</f>
        <v>49.000000000000156</v>
      </c>
      <c r="AP245" s="126" t="str">
        <f t="shared" si="74"/>
        <v>0.0001-0.777306122448977i</v>
      </c>
      <c r="AQ245" s="105" t="str">
        <f t="shared" si="75"/>
        <v>0.000001-0.049627773716052i</v>
      </c>
      <c r="AR245" s="105" t="str">
        <f t="shared" si="76"/>
        <v>0.0243176091208656+119.156284692242i</v>
      </c>
      <c r="AS245" s="93" t="str">
        <f t="shared" si="84"/>
        <v>19.8528960862747+0.0001i</v>
      </c>
      <c r="AT245" s="87"/>
      <c r="AU245" s="87" t="str">
        <f t="shared" si="77"/>
        <v>0.0243186091208656+119.106656918526i</v>
      </c>
      <c r="AV245" s="87" t="str">
        <f t="shared" si="78"/>
        <v>0.470884154147424+2364.61208541893i</v>
      </c>
      <c r="AW245" s="87" t="str">
        <f t="shared" si="79"/>
        <v>19.8772146953956+119.106756918526i</v>
      </c>
      <c r="AX245" s="87" t="str">
        <f t="shared" si="80"/>
        <v>19.3155840249517+3.21954132912107i</v>
      </c>
      <c r="AY245" s="87" t="str">
        <f t="shared" si="81"/>
        <v>19.3156840249517+2.44223520667209i</v>
      </c>
      <c r="AZ245" s="87">
        <f t="shared" si="82"/>
        <v>49.000000000000156</v>
      </c>
      <c r="BA245" s="87">
        <f t="shared" si="83"/>
        <v>19.46946743381757</v>
      </c>
    </row>
    <row r="246" spans="41:53" x14ac:dyDescent="0.25">
      <c r="AO246" s="87">
        <f t="shared" si="85"/>
        <v>49.200000000000159</v>
      </c>
      <c r="AP246" s="126" t="str">
        <f t="shared" si="74"/>
        <v>0.0001-0.774146341463412i</v>
      </c>
      <c r="AQ246" s="105" t="str">
        <f t="shared" si="75"/>
        <v>0.000001-0.0494260347985071i</v>
      </c>
      <c r="AR246" s="105" t="str">
        <f t="shared" si="76"/>
        <v>0.0243176091208656+119.642636874659i</v>
      </c>
      <c r="AS246" s="93" t="str">
        <f t="shared" si="84"/>
        <v>19.8528960862747+0.0001i</v>
      </c>
      <c r="AT246" s="87"/>
      <c r="AU246" s="87" t="str">
        <f t="shared" si="77"/>
        <v>0.0243186091208656+119.593210839861i</v>
      </c>
      <c r="AV246" s="87" t="str">
        <f t="shared" si="78"/>
        <v>0.470835498755291+2374.27158985956i</v>
      </c>
      <c r="AW246" s="87" t="str">
        <f t="shared" si="79"/>
        <v>19.8772146953956+119.593310839861i</v>
      </c>
      <c r="AX246" s="87" t="str">
        <f t="shared" si="80"/>
        <v>19.319829715714+3.20714900311244i</v>
      </c>
      <c r="AY246" s="87" t="str">
        <f t="shared" si="81"/>
        <v>19.319929715714+2.43300266164903i</v>
      </c>
      <c r="AZ246" s="87">
        <f t="shared" si="82"/>
        <v>49.200000000000159</v>
      </c>
      <c r="BA246" s="87">
        <f t="shared" si="83"/>
        <v>19.472523877805877</v>
      </c>
    </row>
    <row r="247" spans="41:53" x14ac:dyDescent="0.25">
      <c r="AO247" s="87">
        <f t="shared" si="85"/>
        <v>49.400000000000162</v>
      </c>
      <c r="AP247" s="126" t="str">
        <f t="shared" si="74"/>
        <v>0.0001-0.771012145748985i</v>
      </c>
      <c r="AQ247" s="105" t="str">
        <f t="shared" si="75"/>
        <v>0.000001-0.0492259293944646i</v>
      </c>
      <c r="AR247" s="105" t="str">
        <f t="shared" si="76"/>
        <v>0.0243176091208656+120.128989057076i</v>
      </c>
      <c r="AS247" s="93" t="str">
        <f t="shared" si="84"/>
        <v>19.8528960862747+0.0001i</v>
      </c>
      <c r="AT247" s="87"/>
      <c r="AU247" s="87" t="str">
        <f t="shared" si="77"/>
        <v>0.0243186091208656+120.079763127682i</v>
      </c>
      <c r="AV247" s="87" t="str">
        <f t="shared" si="78"/>
        <v>0.470786843526509+2383.93106187021i</v>
      </c>
      <c r="AW247" s="87" t="str">
        <f t="shared" si="79"/>
        <v>19.8772146953956+120.079863127682i</v>
      </c>
      <c r="AX247" s="87" t="str">
        <f t="shared" si="80"/>
        <v>19.3240257233282+3.19484892175877i</v>
      </c>
      <c r="AY247" s="87" t="str">
        <f t="shared" si="81"/>
        <v>19.3241257233282+2.42383677600978i</v>
      </c>
      <c r="AZ247" s="87">
        <f t="shared" si="82"/>
        <v>49.400000000000162</v>
      </c>
      <c r="BA247" s="87">
        <f t="shared" si="83"/>
        <v>19.475544143559432</v>
      </c>
    </row>
    <row r="248" spans="41:53" x14ac:dyDescent="0.25">
      <c r="AO248" s="87">
        <f t="shared" si="85"/>
        <v>49.600000000000165</v>
      </c>
      <c r="AP248" s="126" t="str">
        <f t="shared" si="74"/>
        <v>0.0001-0.767903225806449i</v>
      </c>
      <c r="AQ248" s="105" t="str">
        <f t="shared" si="75"/>
        <v>0.000001-0.0490274377436804i</v>
      </c>
      <c r="AR248" s="105" t="str">
        <f t="shared" si="76"/>
        <v>0.0243176091208656+120.615341239494i</v>
      </c>
      <c r="AS248" s="93" t="str">
        <f t="shared" si="84"/>
        <v>19.8528960862747+0.0001i</v>
      </c>
      <c r="AT248" s="87"/>
      <c r="AU248" s="87" t="str">
        <f t="shared" si="77"/>
        <v>0.0243186091208656+120.56631380175i</v>
      </c>
      <c r="AV248" s="87" t="str">
        <f t="shared" si="78"/>
        <v>0.470738188459102+2393.59050184319i</v>
      </c>
      <c r="AW248" s="87" t="str">
        <f t="shared" si="79"/>
        <v>19.8772146953956+120.56641380175i</v>
      </c>
      <c r="AX248" s="87" t="str">
        <f t="shared" si="80"/>
        <v>19.3281728130341+3.18264009342508i</v>
      </c>
      <c r="AY248" s="87" t="str">
        <f t="shared" si="81"/>
        <v>19.3282728130341+2.41473686761863i</v>
      </c>
      <c r="AZ248" s="87">
        <f t="shared" si="82"/>
        <v>49.600000000000165</v>
      </c>
      <c r="BA248" s="87">
        <f t="shared" si="83"/>
        <v>19.478528796469966</v>
      </c>
    </row>
    <row r="249" spans="41:53" x14ac:dyDescent="0.25">
      <c r="AO249" s="87">
        <f t="shared" si="85"/>
        <v>49.800000000000168</v>
      </c>
      <c r="AP249" s="126" t="str">
        <f t="shared" si="74"/>
        <v>0.0001-0.764819277108431i</v>
      </c>
      <c r="AQ249" s="105" t="str">
        <f t="shared" si="75"/>
        <v>0.000001-0.0488305404033444i</v>
      </c>
      <c r="AR249" s="105" t="str">
        <f t="shared" si="76"/>
        <v>0.0243176091208656+121.101693421911i</v>
      </c>
      <c r="AS249" s="93" t="str">
        <f t="shared" si="84"/>
        <v>19.8528960862747+0.0001i</v>
      </c>
      <c r="AT249" s="87"/>
      <c r="AU249" s="87" t="str">
        <f t="shared" si="77"/>
        <v>0.0243186091208656+121.052862881508i</v>
      </c>
      <c r="AV249" s="87" t="str">
        <f t="shared" si="78"/>
        <v>0.470689533551126+2403.2499101645i</v>
      </c>
      <c r="AW249" s="87" t="str">
        <f t="shared" si="79"/>
        <v>19.8772146953956+121.052962881508i</v>
      </c>
      <c r="AX249" s="87" t="str">
        <f t="shared" si="80"/>
        <v>19.3322717355309+3.17052154005521i</v>
      </c>
      <c r="AY249" s="87" t="str">
        <f t="shared" si="81"/>
        <v>19.3323717355309+2.40570226294678i</v>
      </c>
      <c r="AZ249" s="87">
        <f t="shared" si="82"/>
        <v>49.800000000000168</v>
      </c>
      <c r="BA249" s="87">
        <f t="shared" si="83"/>
        <v>19.481478390992336</v>
      </c>
    </row>
    <row r="250" spans="41:53" x14ac:dyDescent="0.25">
      <c r="AO250" s="87">
        <f t="shared" si="85"/>
        <v>50.000000000000171</v>
      </c>
      <c r="AP250" s="126" t="str">
        <f t="shared" si="74"/>
        <v>0.0001-0.761759999999998i</v>
      </c>
      <c r="AQ250" s="105" t="str">
        <f t="shared" si="75"/>
        <v>0.000001-0.048635218241731i</v>
      </c>
      <c r="AR250" s="105" t="str">
        <f t="shared" si="76"/>
        <v>0.0243176091208656+121.588045604328i</v>
      </c>
      <c r="AS250" s="93" t="str">
        <f t="shared" si="84"/>
        <v>19.8528960862747+0.0001i</v>
      </c>
      <c r="AT250" s="87"/>
      <c r="AU250" s="87" t="str">
        <f t="shared" si="77"/>
        <v>0.0243186091208656+121.539410386086i</v>
      </c>
      <c r="AV250" s="87" t="str">
        <f t="shared" si="78"/>
        <v>0.470640878800668+2412.90928721392i</v>
      </c>
      <c r="AW250" s="87" t="str">
        <f t="shared" si="79"/>
        <v>19.8772146953956+121.539510386086i</v>
      </c>
      <c r="AX250" s="87" t="str">
        <f t="shared" si="80"/>
        <v>19.336323227304+3.15849229695295i</v>
      </c>
      <c r="AY250" s="87" t="str">
        <f t="shared" si="81"/>
        <v>19.336423227304+2.39673229695295i</v>
      </c>
      <c r="AZ250" s="87">
        <f t="shared" si="82"/>
        <v>50.000000000000171</v>
      </c>
      <c r="BA250" s="87">
        <f t="shared" si="83"/>
        <v>19.484393470895597</v>
      </c>
    </row>
    <row r="251" spans="41:53" x14ac:dyDescent="0.25">
      <c r="AO251" s="87"/>
      <c r="AP251" s="126"/>
      <c r="AQ251" s="105"/>
      <c r="AR251" s="105"/>
      <c r="AS251" s="93"/>
      <c r="AT251" s="87"/>
      <c r="AU251" s="87"/>
      <c r="AV251" s="87"/>
      <c r="AW251" s="87"/>
      <c r="AX251" s="87"/>
      <c r="AY251" s="87"/>
    </row>
    <row r="252" spans="41:53" x14ac:dyDescent="0.25">
      <c r="AO252" s="87"/>
      <c r="AP252" s="126"/>
      <c r="AQ252" s="105"/>
      <c r="AR252" s="105"/>
      <c r="AS252" s="93"/>
      <c r="AT252" s="87"/>
      <c r="AU252" s="87"/>
      <c r="AV252" s="87"/>
      <c r="AW252" s="87"/>
      <c r="AX252" s="87"/>
      <c r="AY252" s="87"/>
    </row>
    <row r="253" spans="41:53" x14ac:dyDescent="0.25">
      <c r="AO253" s="87"/>
      <c r="AP253" s="126"/>
      <c r="AQ253" s="105"/>
      <c r="AR253" s="105"/>
      <c r="AS253" s="93"/>
      <c r="AT253" s="87"/>
      <c r="AU253" s="87"/>
      <c r="AV253" s="87"/>
      <c r="AW253" s="87"/>
      <c r="AX253" s="87"/>
      <c r="AY253" s="87"/>
    </row>
    <row r="254" spans="41:53" x14ac:dyDescent="0.25">
      <c r="AO254" s="87"/>
      <c r="AP254" s="126"/>
      <c r="AQ254" s="105"/>
      <c r="AR254" s="105"/>
      <c r="AS254" s="93"/>
      <c r="AT254" s="87"/>
      <c r="AU254" s="87"/>
      <c r="AV254" s="87"/>
      <c r="AW254" s="87"/>
      <c r="AX254" s="87"/>
      <c r="AY254" s="87"/>
    </row>
    <row r="255" spans="41:53" x14ac:dyDescent="0.25">
      <c r="AO255" s="87"/>
      <c r="AP255" s="126"/>
      <c r="AQ255" s="105"/>
      <c r="AR255" s="105"/>
      <c r="AS255" s="93"/>
      <c r="AT255" s="87"/>
      <c r="AU255" s="87"/>
      <c r="AV255" s="87"/>
      <c r="AW255" s="87"/>
      <c r="AX255" s="87"/>
      <c r="AY255" s="87"/>
    </row>
    <row r="256" spans="41:53" x14ac:dyDescent="0.25">
      <c r="AO256" s="87"/>
      <c r="AP256" s="126"/>
      <c r="AQ256" s="105"/>
      <c r="AR256" s="105"/>
      <c r="AS256" s="93"/>
      <c r="AT256" s="87"/>
      <c r="AU256" s="87"/>
      <c r="AV256" s="87"/>
      <c r="AW256" s="87"/>
      <c r="AX256" s="87"/>
      <c r="AY256" s="87"/>
    </row>
    <row r="257" spans="41:51" x14ac:dyDescent="0.25">
      <c r="AO257" s="87"/>
      <c r="AP257" s="126"/>
      <c r="AQ257" s="105"/>
      <c r="AR257" s="105"/>
      <c r="AS257" s="93"/>
      <c r="AT257" s="87"/>
      <c r="AU257" s="87"/>
      <c r="AV257" s="87"/>
      <c r="AW257" s="87"/>
      <c r="AX257" s="87"/>
      <c r="AY257" s="87"/>
    </row>
    <row r="258" spans="41:51" x14ac:dyDescent="0.25">
      <c r="AO258" s="87"/>
      <c r="AP258" s="126"/>
      <c r="AQ258" s="105"/>
      <c r="AR258" s="105"/>
      <c r="AS258" s="93"/>
      <c r="AT258" s="87"/>
      <c r="AU258" s="87"/>
      <c r="AV258" s="87"/>
      <c r="AW258" s="87"/>
      <c r="AX258" s="87"/>
      <c r="AY258" s="87"/>
    </row>
    <row r="259" spans="41:51" x14ac:dyDescent="0.25">
      <c r="AO259" s="87"/>
      <c r="AP259" s="126"/>
      <c r="AQ259" s="105"/>
      <c r="AR259" s="105"/>
      <c r="AS259" s="93"/>
      <c r="AT259" s="87"/>
      <c r="AU259" s="87"/>
      <c r="AV259" s="87"/>
      <c r="AW259" s="87"/>
      <c r="AX259" s="87"/>
      <c r="AY259" s="87"/>
    </row>
    <row r="260" spans="41:51" x14ac:dyDescent="0.25">
      <c r="AO260" s="87"/>
      <c r="AP260" s="126"/>
      <c r="AQ260" s="105"/>
      <c r="AR260" s="105"/>
      <c r="AS260" s="93"/>
      <c r="AT260" s="87"/>
      <c r="AU260" s="87"/>
      <c r="AV260" s="87"/>
      <c r="AW260" s="87"/>
      <c r="AX260" s="87"/>
      <c r="AY260" s="87"/>
    </row>
    <row r="261" spans="41:51" x14ac:dyDescent="0.25">
      <c r="AO261" s="87"/>
      <c r="AP261" s="126"/>
      <c r="AQ261" s="105"/>
      <c r="AR261" s="105"/>
      <c r="AS261" s="93"/>
      <c r="AT261" s="87"/>
      <c r="AU261" s="87"/>
      <c r="AV261" s="87"/>
      <c r="AW261" s="87"/>
      <c r="AX261" s="87"/>
      <c r="AY261" s="87"/>
    </row>
    <row r="262" spans="41:51" x14ac:dyDescent="0.25">
      <c r="AO262" s="87"/>
      <c r="AP262" s="126"/>
      <c r="AQ262" s="105"/>
      <c r="AR262" s="105"/>
      <c r="AS262" s="93"/>
      <c r="AT262" s="87"/>
      <c r="AU262" s="87"/>
      <c r="AV262" s="87"/>
      <c r="AW262" s="87"/>
      <c r="AX262" s="87"/>
      <c r="AY262" s="87"/>
    </row>
    <row r="263" spans="41:51" x14ac:dyDescent="0.25">
      <c r="AO263" s="87"/>
      <c r="AP263" s="126"/>
      <c r="AQ263" s="105"/>
      <c r="AR263" s="105"/>
      <c r="AS263" s="93"/>
      <c r="AT263" s="87"/>
      <c r="AU263" s="87"/>
      <c r="AV263" s="87"/>
      <c r="AW263" s="87"/>
      <c r="AX263" s="87"/>
      <c r="AY263" s="87"/>
    </row>
    <row r="264" spans="41:51" x14ac:dyDescent="0.25">
      <c r="AO264" s="87"/>
      <c r="AP264" s="126"/>
      <c r="AQ264" s="105"/>
      <c r="AR264" s="105"/>
      <c r="AS264" s="93"/>
      <c r="AT264" s="87"/>
      <c r="AU264" s="87"/>
      <c r="AV264" s="87"/>
      <c r="AW264" s="87"/>
      <c r="AX264" s="87"/>
      <c r="AY264" s="87"/>
    </row>
    <row r="265" spans="41:51" x14ac:dyDescent="0.25">
      <c r="AO265" s="87"/>
      <c r="AP265" s="126"/>
      <c r="AQ265" s="105"/>
      <c r="AR265" s="105"/>
      <c r="AS265" s="93"/>
      <c r="AT265" s="87"/>
      <c r="AU265" s="87"/>
      <c r="AV265" s="87"/>
      <c r="AW265" s="87"/>
      <c r="AX265" s="87"/>
      <c r="AY265" s="87"/>
    </row>
    <row r="266" spans="41:51" x14ac:dyDescent="0.25">
      <c r="AO266" s="87"/>
      <c r="AP266" s="126"/>
      <c r="AQ266" s="105"/>
      <c r="AR266" s="105"/>
      <c r="AS266" s="93"/>
      <c r="AT266" s="87"/>
      <c r="AU266" s="87"/>
      <c r="AV266" s="87"/>
      <c r="AW266" s="87"/>
      <c r="AX266" s="87"/>
      <c r="AY266" s="87"/>
    </row>
    <row r="267" spans="41:51" x14ac:dyDescent="0.25">
      <c r="AO267" s="87"/>
      <c r="AP267" s="126"/>
      <c r="AQ267" s="105"/>
      <c r="AR267" s="105"/>
      <c r="AS267" s="93"/>
      <c r="AT267" s="87"/>
      <c r="AU267" s="87"/>
      <c r="AV267" s="87"/>
      <c r="AW267" s="87"/>
      <c r="AX267" s="87"/>
      <c r="AY267" s="87"/>
    </row>
    <row r="268" spans="41:51" x14ac:dyDescent="0.25">
      <c r="AO268" s="87"/>
      <c r="AP268" s="126"/>
      <c r="AQ268" s="105"/>
      <c r="AR268" s="105"/>
      <c r="AS268" s="93"/>
      <c r="AT268" s="87"/>
      <c r="AU268" s="87"/>
      <c r="AV268" s="87"/>
      <c r="AW268" s="87"/>
      <c r="AX268" s="87"/>
      <c r="AY268" s="87"/>
    </row>
    <row r="269" spans="41:51" x14ac:dyDescent="0.25">
      <c r="AO269" s="87"/>
      <c r="AP269" s="126"/>
      <c r="AQ269" s="105"/>
      <c r="AR269" s="105"/>
      <c r="AS269" s="93"/>
      <c r="AT269" s="87"/>
      <c r="AU269" s="87"/>
      <c r="AV269" s="87"/>
      <c r="AW269" s="87"/>
      <c r="AX269" s="87"/>
      <c r="AY269" s="87"/>
    </row>
    <row r="270" spans="41:51" x14ac:dyDescent="0.25">
      <c r="AO270" s="87"/>
      <c r="AP270" s="126"/>
      <c r="AQ270" s="105"/>
      <c r="AR270" s="105"/>
      <c r="AS270" s="93"/>
      <c r="AT270" s="87"/>
      <c r="AU270" s="87"/>
      <c r="AV270" s="87"/>
      <c r="AW270" s="87"/>
      <c r="AX270" s="87"/>
      <c r="AY270" s="87"/>
    </row>
    <row r="271" spans="41:51" x14ac:dyDescent="0.25">
      <c r="AO271" s="87"/>
      <c r="AP271" s="126"/>
      <c r="AQ271" s="105"/>
      <c r="AR271" s="105"/>
      <c r="AS271" s="93"/>
      <c r="AT271" s="87"/>
      <c r="AU271" s="87"/>
      <c r="AV271" s="87"/>
      <c r="AW271" s="87"/>
      <c r="AX271" s="87"/>
      <c r="AY271" s="87"/>
    </row>
    <row r="272" spans="41:51" x14ac:dyDescent="0.25">
      <c r="AO272" s="87"/>
      <c r="AP272" s="126"/>
      <c r="AQ272" s="105"/>
      <c r="AR272" s="105"/>
      <c r="AS272" s="93"/>
      <c r="AT272" s="87"/>
      <c r="AU272" s="87"/>
      <c r="AV272" s="87"/>
      <c r="AW272" s="87"/>
      <c r="AX272" s="87"/>
      <c r="AY272" s="87"/>
    </row>
  </sheetData>
  <sheetProtection algorithmName="SHA-512" hashValue="bbaJaykFbzEdXLvtQdkZm8IBUJ2e5J7hJt2HFVNXllYdKY3c2e1ijEGdBMVuJQ7Zq8lI1+CMA5VaKGuV6z+/dw==" saltValue="4qk8pBL7fH+00Ck8Hf1Odw==" spinCount="100000" sheet="1" objects="1" scenarios="1"/>
  <mergeCells count="44">
    <mergeCell ref="X38:AE38"/>
    <mergeCell ref="AC32:AD32"/>
    <mergeCell ref="AC33:AD33"/>
    <mergeCell ref="Z29:AA29"/>
    <mergeCell ref="Z30:AA30"/>
    <mergeCell ref="Z31:AA31"/>
    <mergeCell ref="Z32:AA32"/>
    <mergeCell ref="Z33:AA33"/>
    <mergeCell ref="Z24:AA24"/>
    <mergeCell ref="AC24:AD24"/>
    <mergeCell ref="Z25:AA25"/>
    <mergeCell ref="AC25:AD25"/>
    <mergeCell ref="Z26:AA26"/>
    <mergeCell ref="X21:AE21"/>
    <mergeCell ref="Z22:AA22"/>
    <mergeCell ref="AC22:AD22"/>
    <mergeCell ref="Z23:AA23"/>
    <mergeCell ref="AC23:AD23"/>
    <mergeCell ref="B28:L28"/>
    <mergeCell ref="B48:L48"/>
    <mergeCell ref="I8:L8"/>
    <mergeCell ref="I9:L9"/>
    <mergeCell ref="D42:I42"/>
    <mergeCell ref="J44:K44"/>
    <mergeCell ref="J45:K45"/>
    <mergeCell ref="J46:K46"/>
    <mergeCell ref="I43:K43"/>
    <mergeCell ref="D43:F43"/>
    <mergeCell ref="N1:P2"/>
    <mergeCell ref="N3:P3"/>
    <mergeCell ref="B167:L167"/>
    <mergeCell ref="D65:I65"/>
    <mergeCell ref="B109:E109"/>
    <mergeCell ref="B110:E110"/>
    <mergeCell ref="H92:L93"/>
    <mergeCell ref="H94:I94"/>
    <mergeCell ref="K94:L94"/>
    <mergeCell ref="J67:K67"/>
    <mergeCell ref="I66:K66"/>
    <mergeCell ref="J68:K68"/>
    <mergeCell ref="J69:K69"/>
    <mergeCell ref="D66:F66"/>
    <mergeCell ref="G4:L4"/>
    <mergeCell ref="B6:L6"/>
  </mergeCells>
  <conditionalFormatting sqref="I45 I68">
    <cfRule type="cellIs" dxfId="43" priority="38" operator="greaterThan">
      <formula>$L$45</formula>
    </cfRule>
  </conditionalFormatting>
  <conditionalFormatting sqref="I46 I69">
    <cfRule type="cellIs" dxfId="42" priority="39" operator="greaterThan">
      <formula>$L$46</formula>
    </cfRule>
  </conditionalFormatting>
  <conditionalFormatting sqref="D45 D68">
    <cfRule type="cellIs" dxfId="41" priority="40" operator="greaterThan">
      <formula>$F$45</formula>
    </cfRule>
    <cfRule type="cellIs" dxfId="40" priority="41" operator="greaterThan">
      <formula>$F$45</formula>
    </cfRule>
  </conditionalFormatting>
  <conditionalFormatting sqref="D46 D69">
    <cfRule type="cellIs" dxfId="39" priority="42" operator="greaterThan">
      <formula>$F$46</formula>
    </cfRule>
    <cfRule type="cellIs" dxfId="38" priority="43" operator="greaterThan">
      <formula>$F$46</formula>
    </cfRule>
  </conditionalFormatting>
  <conditionalFormatting sqref="D45:E45">
    <cfRule type="cellIs" dxfId="37" priority="6" operator="greaterThan">
      <formula>$F$45</formula>
    </cfRule>
    <cfRule type="cellIs" dxfId="36" priority="23" operator="lessThan">
      <formula>0.855</formula>
    </cfRule>
    <cfRule type="cellIs" dxfId="35" priority="24" operator="lessThan">
      <formula>$F$45</formula>
    </cfRule>
    <cfRule type="cellIs" dxfId="34" priority="25" operator="greaterThan">
      <formula>$F$45</formula>
    </cfRule>
  </conditionalFormatting>
  <conditionalFormatting sqref="E45">
    <cfRule type="cellIs" dxfId="33" priority="22" operator="lessThan">
      <formula>$F$45</formula>
    </cfRule>
  </conditionalFormatting>
  <conditionalFormatting sqref="D46:E46">
    <cfRule type="cellIs" dxfId="32" priority="5" operator="greaterThan">
      <formula>$F$46</formula>
    </cfRule>
    <cfRule type="cellIs" dxfId="31" priority="21" operator="lessThan">
      <formula>0.927</formula>
    </cfRule>
  </conditionalFormatting>
  <conditionalFormatting sqref="E46">
    <cfRule type="cellIs" dxfId="30" priority="20" operator="lessThan">
      <formula>$F$46</formula>
    </cfRule>
  </conditionalFormatting>
  <conditionalFormatting sqref="I45:K45">
    <cfRule type="cellIs" dxfId="29" priority="8" operator="greaterThan">
      <formula>$L$45</formula>
    </cfRule>
    <cfRule type="cellIs" dxfId="28" priority="19" operator="lessThan">
      <formula>$L$45</formula>
    </cfRule>
  </conditionalFormatting>
  <conditionalFormatting sqref="I46:K46">
    <cfRule type="cellIs" dxfId="27" priority="7" operator="greaterThan">
      <formula>$L$46</formula>
    </cfRule>
    <cfRule type="cellIs" dxfId="26" priority="18" operator="lessThan">
      <formula>$L$46</formula>
    </cfRule>
  </conditionalFormatting>
  <conditionalFormatting sqref="D68:E68">
    <cfRule type="cellIs" dxfId="25" priority="12" operator="greaterThan">
      <formula>$F$68</formula>
    </cfRule>
    <cfRule type="cellIs" dxfId="24" priority="17" operator="lessThan">
      <formula>"116.0%$F$68"</formula>
    </cfRule>
  </conditionalFormatting>
  <conditionalFormatting sqref="D69:E69">
    <cfRule type="cellIs" dxfId="23" priority="11" operator="greaterThan">
      <formula>$F$69</formula>
    </cfRule>
    <cfRule type="cellIs" dxfId="22" priority="16" operator="lessThan">
      <formula>$F$69</formula>
    </cfRule>
  </conditionalFormatting>
  <conditionalFormatting sqref="I68:K68">
    <cfRule type="cellIs" dxfId="21" priority="10" operator="greaterThan">
      <formula>$L$68</formula>
    </cfRule>
    <cfRule type="cellIs" dxfId="20" priority="15" operator="lessThan">
      <formula>$L$68</formula>
    </cfRule>
  </conditionalFormatting>
  <conditionalFormatting sqref="I69:K69">
    <cfRule type="cellIs" dxfId="19" priority="9" operator="greaterThan">
      <formula>$L$69</formula>
    </cfRule>
    <cfRule type="cellIs" dxfId="18" priority="14" operator="lessThan">
      <formula>$L$69</formula>
    </cfRule>
  </conditionalFormatting>
  <conditionalFormatting sqref="J69:K69">
    <cfRule type="cellIs" dxfId="17" priority="13" operator="lessThan">
      <formula>$L$69</formula>
    </cfRule>
  </conditionalFormatting>
  <conditionalFormatting sqref="D46">
    <cfRule type="cellIs" dxfId="16" priority="4" operator="lessThan">
      <formula>$F$46</formula>
    </cfRule>
  </conditionalFormatting>
  <conditionalFormatting sqref="D45">
    <cfRule type="cellIs" dxfId="15" priority="1" operator="lessThan">
      <formula>$F$45</formula>
    </cfRule>
    <cfRule type="cellIs" dxfId="14" priority="2" operator="greaterThan">
      <formula>$F$45</formula>
    </cfRule>
    <cfRule type="cellIs" dxfId="13" priority="3" operator="greaterThan">
      <formula>$F$45</formula>
    </cfRule>
  </conditionalFormatting>
  <dataValidations disablePrompts="1" count="1">
    <dataValidation type="list" allowBlank="1" showInputMessage="1" showErrorMessage="1" sqref="D42 D65" xr:uid="{00000000-0002-0000-0200-000000000000}">
      <formula1>capacitordutyrating</formula1>
    </dataValidation>
  </dataValidations>
  <hyperlinks>
    <hyperlink ref="N1:P2" r:id="rId1" display="https://youtu.be/sV6w9_-4ZJw" xr:uid="{BF7A95F8-A4BC-46FE-9E70-9727F82BE9CD}"/>
  </hyperlinks>
  <pageMargins left="0.7" right="0.7" top="0.205416666666667" bottom="0.45333333333333298" header="0.3" footer="0.3"/>
  <pageSetup scale="55" fitToHeight="2" orientation="portrait" r:id="rId2"/>
  <headerFooter>
    <oddHeader xml:space="preserve">&amp;L
&amp;R       </oddHeader>
  </headerFooter>
  <rowBreaks count="2" manualBreakCount="2">
    <brk id="59" max="11" man="1"/>
    <brk id="136" max="11" man="1"/>
  </rowBreak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5" name="Scroll Bar 1">
              <controlPr locked="0" defaultSize="0" autoPict="0">
                <anchor moveWithCells="1">
                  <from>
                    <xdr:col>5</xdr:col>
                    <xdr:colOff>38100</xdr:colOff>
                    <xdr:row>9</xdr:row>
                    <xdr:rowOff>57150</xdr:rowOff>
                  </from>
                  <to>
                    <xdr:col>11</xdr:col>
                    <xdr:colOff>1962150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6" name="Scroll Bar 2">
              <controlPr locked="0" defaultSize="0" autoPict="0">
                <anchor moveWithCells="1">
                  <from>
                    <xdr:col>4</xdr:col>
                    <xdr:colOff>57150</xdr:colOff>
                    <xdr:row>14</xdr:row>
                    <xdr:rowOff>238125</xdr:rowOff>
                  </from>
                  <to>
                    <xdr:col>11</xdr:col>
                    <xdr:colOff>9525</xdr:colOff>
                    <xdr:row>16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BN272"/>
  <sheetViews>
    <sheetView zoomScaleNormal="100" workbookViewId="0"/>
  </sheetViews>
  <sheetFormatPr defaultColWidth="9.140625" defaultRowHeight="15" x14ac:dyDescent="0.25"/>
  <cols>
    <col min="1" max="1" width="2.42578125" style="87" customWidth="1"/>
    <col min="2" max="2" width="43.85546875" style="87" customWidth="1"/>
    <col min="3" max="3" width="1.5703125" style="87" customWidth="1"/>
    <col min="4" max="4" width="10.5703125" style="87" customWidth="1"/>
    <col min="5" max="5" width="13.28515625" style="87" customWidth="1"/>
    <col min="6" max="6" width="10.85546875" style="87" bestFit="1" customWidth="1"/>
    <col min="7" max="7" width="9.140625" style="87"/>
    <col min="8" max="8" width="10.28515625" style="87" customWidth="1"/>
    <col min="9" max="9" width="10.85546875" style="87" customWidth="1"/>
    <col min="10" max="10" width="10.42578125" style="87" customWidth="1"/>
    <col min="11" max="11" width="15.140625" style="87" customWidth="1"/>
    <col min="12" max="12" width="27.7109375" style="87" customWidth="1"/>
    <col min="13" max="13" width="9.140625" style="87"/>
    <col min="14" max="14" width="24.5703125" style="87" customWidth="1"/>
    <col min="15" max="15" width="54.28515625" style="87" customWidth="1"/>
    <col min="16" max="16" width="55.28515625" style="87" customWidth="1"/>
    <col min="17" max="18" width="9.140625" style="87"/>
    <col min="19" max="19" width="22.85546875" style="87" customWidth="1"/>
    <col min="20" max="41" width="9.140625" style="87"/>
    <col min="42" max="42" width="24.7109375" style="87" customWidth="1"/>
    <col min="43" max="43" width="27.7109375" style="90" customWidth="1"/>
    <col min="44" max="44" width="38.7109375" style="90" customWidth="1"/>
    <col min="45" max="45" width="30.28515625" style="90" customWidth="1"/>
    <col min="46" max="46" width="3.7109375" style="87" customWidth="1"/>
    <col min="47" max="47" width="38.140625" style="87" customWidth="1"/>
    <col min="48" max="48" width="42.7109375" style="87" customWidth="1"/>
    <col min="49" max="49" width="44.140625" style="87" customWidth="1"/>
    <col min="50" max="50" width="39" style="87" customWidth="1"/>
    <col min="51" max="51" width="41.85546875" style="87" customWidth="1"/>
    <col min="52" max="16384" width="9.140625" style="87"/>
  </cols>
  <sheetData>
    <row r="1" spans="2:57" ht="28.5" customHeight="1" x14ac:dyDescent="0.25">
      <c r="B1" s="267" t="s">
        <v>321</v>
      </c>
      <c r="AP1" s="87" t="s">
        <v>177</v>
      </c>
      <c r="AS1" s="90" t="s">
        <v>180</v>
      </c>
      <c r="AU1" s="90" t="s">
        <v>179</v>
      </c>
      <c r="AV1" s="87" t="s">
        <v>181</v>
      </c>
      <c r="AW1" s="90" t="s">
        <v>182</v>
      </c>
      <c r="AX1" s="87" t="s">
        <v>183</v>
      </c>
      <c r="AY1" s="90" t="s">
        <v>184</v>
      </c>
      <c r="BE1" s="87" t="s">
        <v>268</v>
      </c>
    </row>
    <row r="2" spans="2:57" x14ac:dyDescent="0.25">
      <c r="AO2" s="90" t="s">
        <v>172</v>
      </c>
      <c r="AP2" s="90" t="s">
        <v>173</v>
      </c>
      <c r="AQ2" s="90" t="s">
        <v>174</v>
      </c>
      <c r="AR2" s="90" t="s">
        <v>175</v>
      </c>
      <c r="AS2" s="90" t="s">
        <v>176</v>
      </c>
      <c r="AU2" s="90" t="s">
        <v>178</v>
      </c>
      <c r="AV2" s="90" t="s">
        <v>0</v>
      </c>
      <c r="BE2" s="87" t="s">
        <v>269</v>
      </c>
    </row>
    <row r="3" spans="2:57" ht="36" x14ac:dyDescent="0.55000000000000004">
      <c r="B3" s="118" t="s">
        <v>45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AO3" s="87">
        <v>1</v>
      </c>
      <c r="AP3" s="126" t="str">
        <f t="shared" ref="AP3:AP25" si="0">COMPLEX(0.0001,-1*$D$20/AO3)</f>
        <v>0.0001-18.1640126984127i</v>
      </c>
      <c r="AQ3" s="105" t="str">
        <f>COMPLEX(0.000000001,-1*0.00000000000000001)</f>
        <v>0.000000001-0.00000000000000001i</v>
      </c>
      <c r="AR3" s="105" t="str">
        <f>COMPLEX($D$23/$D$27,$D$23*AO3)</f>
        <v>0.00858412698412699+0.858412698412699i</v>
      </c>
      <c r="AS3" s="93" t="str">
        <f>COMPLEX(9999999999,9999999)</f>
        <v>9999999999+9999999i</v>
      </c>
      <c r="AU3" s="87" t="str">
        <f t="shared" ref="AU3:AU68" si="1">IMSUM(AR3,AQ3)</f>
        <v>0.00858412798412699+0.858412698412699i</v>
      </c>
      <c r="AV3" s="87" t="str">
        <f>IMPRODUCT(AU3,AS3)</f>
        <v>77257153.7069715+8584212824.53983i</v>
      </c>
      <c r="AW3" s="87" t="str">
        <f>IMSUM(AS3,AU3)</f>
        <v>9999999999.00858+9999999.8584127i</v>
      </c>
      <c r="AX3" s="87" t="str">
        <f>IMDIV(AV3,AW3)</f>
        <v>0.00858412805780532+0.858412698411152i</v>
      </c>
      <c r="AY3" s="87" t="str">
        <f>IMSUM(AX3,AP3)</f>
        <v>0.00868412805780532-17.3056000000016i</v>
      </c>
      <c r="AZ3" s="87">
        <f>AO3</f>
        <v>1</v>
      </c>
      <c r="BA3" s="87">
        <f>IMABS(AY3)</f>
        <v>17.305602178893849</v>
      </c>
      <c r="BE3" s="87" t="s">
        <v>270</v>
      </c>
    </row>
    <row r="4" spans="2:57" ht="20.25" customHeight="1" x14ac:dyDescent="0.4">
      <c r="B4" s="175" t="s">
        <v>46</v>
      </c>
      <c r="C4" s="120"/>
      <c r="D4" s="120"/>
      <c r="E4" s="120"/>
      <c r="F4" s="120"/>
      <c r="G4" s="285" t="s">
        <v>47</v>
      </c>
      <c r="H4" s="285"/>
      <c r="I4" s="285"/>
      <c r="J4" s="285"/>
      <c r="K4" s="285"/>
      <c r="L4" s="285"/>
      <c r="AO4" s="87">
        <f>AO3+0.2</f>
        <v>1.2</v>
      </c>
      <c r="AP4" s="126" t="str">
        <f t="shared" si="0"/>
        <v>0.0001-15.1366772486773i</v>
      </c>
      <c r="AQ4" s="105" t="str">
        <f t="shared" ref="AQ4:AQ68" si="2">COMPLEX(0.000000001,-1*0.00000000000000001)</f>
        <v>0.000000001-0.00000000000000001i</v>
      </c>
      <c r="AR4" s="105" t="str">
        <f t="shared" ref="AR4:AR25" si="3">COMPLEX($D$23/$D$27,$D$23*AO4)</f>
        <v>0.00858412698412699+1.03009523809524i</v>
      </c>
      <c r="AS4" s="93" t="str">
        <f t="shared" ref="AS4:AS69" si="4">COMPLEX(9999999999,9999999)</f>
        <v>9999999999+9999999i</v>
      </c>
      <c r="AU4" s="87" t="str">
        <f t="shared" si="1"/>
        <v>0.00858412798412699+1.03009523809524i</v>
      </c>
      <c r="AV4" s="87" t="str">
        <f t="shared" ref="AV4:AV69" si="5">IMPRODUCT(AU4,AS4)</f>
        <v>75540328.4818286+10301038221.1936i</v>
      </c>
      <c r="AW4" s="87" t="str">
        <f t="shared" ref="AW4:AW69" si="6">IMSUM(AS4,AU4)</f>
        <v>9999999999.00858+10000000.0300952i</v>
      </c>
      <c r="AX4" s="87" t="str">
        <f t="shared" ref="AX4:AX69" si="7">IMDIV(AV4,AW4)</f>
        <v>0.00858412809022737+1.03009523809337i</v>
      </c>
      <c r="AY4" s="87" t="str">
        <f t="shared" ref="AY4:AY69" si="8">IMSUM(AX4,AP4)</f>
        <v>0.00868412809022737-14.1065820105839i</v>
      </c>
      <c r="AZ4" s="87">
        <f t="shared" ref="AZ4:AZ69" si="9">AO4</f>
        <v>1.2</v>
      </c>
      <c r="BA4" s="87">
        <f t="shared" ref="BA4:BA69" si="10">IMABS(AY4)</f>
        <v>14.106584683594042</v>
      </c>
    </row>
    <row r="5" spans="2:57" x14ac:dyDescent="0.25">
      <c r="AO5" s="87">
        <f t="shared" ref="AO5:AO70" si="11">AO4+0.2</f>
        <v>1.4</v>
      </c>
      <c r="AP5" s="126" t="str">
        <f t="shared" si="0"/>
        <v>0.0001-12.9742947845805i</v>
      </c>
      <c r="AQ5" s="105" t="str">
        <f t="shared" si="2"/>
        <v>0.000000001-0.00000000000000001i</v>
      </c>
      <c r="AR5" s="105" t="str">
        <f t="shared" si="3"/>
        <v>0.00858412698412699+1.20177777777778i</v>
      </c>
      <c r="AS5" s="93" t="str">
        <f t="shared" si="4"/>
        <v>9999999999+9999999i</v>
      </c>
      <c r="AU5" s="87" t="str">
        <f t="shared" si="1"/>
        <v>0.00858412798412699+1.20177777777778i</v>
      </c>
      <c r="AV5" s="87" t="str">
        <f t="shared" si="5"/>
        <v>73823503.2566857+12017863617.8473i</v>
      </c>
      <c r="AW5" s="87" t="str">
        <f t="shared" si="6"/>
        <v>9999999999.00858+10000000.2017778i</v>
      </c>
      <c r="AX5" s="87" t="str">
        <f t="shared" si="7"/>
        <v>0.0085841281285444+1.20177777777557i</v>
      </c>
      <c r="AY5" s="87" t="str">
        <f t="shared" si="8"/>
        <v>0.0086841281285444-11.7725170068049i</v>
      </c>
      <c r="AZ5" s="87">
        <f t="shared" si="9"/>
        <v>1.4</v>
      </c>
      <c r="BA5" s="87">
        <f t="shared" si="10"/>
        <v>11.772520209776323</v>
      </c>
    </row>
    <row r="6" spans="2:57" ht="21" x14ac:dyDescent="0.35">
      <c r="B6" s="286" t="s">
        <v>124</v>
      </c>
      <c r="C6" s="286"/>
      <c r="D6" s="286"/>
      <c r="E6" s="286"/>
      <c r="F6" s="286"/>
      <c r="G6" s="286"/>
      <c r="H6" s="286"/>
      <c r="I6" s="286"/>
      <c r="J6" s="286"/>
      <c r="K6" s="286"/>
      <c r="L6" s="286"/>
      <c r="N6" s="136" t="s">
        <v>143</v>
      </c>
      <c r="O6" s="136"/>
      <c r="P6" s="136"/>
      <c r="Q6" s="136"/>
      <c r="AO6" s="87">
        <f t="shared" si="11"/>
        <v>1.5999999999999999</v>
      </c>
      <c r="AP6" s="126" t="str">
        <f t="shared" si="0"/>
        <v>0.0001-11.3525079365079i</v>
      </c>
      <c r="AQ6" s="105" t="str">
        <f t="shared" si="2"/>
        <v>0.000000001-0.00000000000000001i</v>
      </c>
      <c r="AR6" s="105" t="str">
        <f t="shared" si="3"/>
        <v>0.00858412698412699+1.37346031746032i</v>
      </c>
      <c r="AS6" s="93" t="str">
        <f t="shared" si="4"/>
        <v>9999999999+9999999i</v>
      </c>
      <c r="AU6" s="87" t="str">
        <f t="shared" si="1"/>
        <v>0.00858412798412699+1.37346031746032i</v>
      </c>
      <c r="AV6" s="87" t="str">
        <f t="shared" si="5"/>
        <v>72106678.0315429+13734689014.501i</v>
      </c>
      <c r="AW6" s="87" t="str">
        <f t="shared" si="6"/>
        <v>9999999999.00858+10000000.3734603i</v>
      </c>
      <c r="AX6" s="87" t="str">
        <f t="shared" si="7"/>
        <v>0.0085841281727564+1.37346031745777i</v>
      </c>
      <c r="AY6" s="87" t="str">
        <f t="shared" si="8"/>
        <v>0.0086841281727564-9.97904761905013i</v>
      </c>
      <c r="AZ6" s="87">
        <f t="shared" si="9"/>
        <v>1.5999999999999999</v>
      </c>
      <c r="BA6" s="87">
        <f t="shared" si="10"/>
        <v>9.9790513976706325</v>
      </c>
    </row>
    <row r="7" spans="2:57" x14ac:dyDescent="0.25">
      <c r="AO7" s="87">
        <f t="shared" si="11"/>
        <v>1.7999999999999998</v>
      </c>
      <c r="AP7" s="126" t="str">
        <f t="shared" si="0"/>
        <v>0.0001-10.0911181657848i</v>
      </c>
      <c r="AQ7" s="105" t="str">
        <f t="shared" si="2"/>
        <v>0.000000001-0.00000000000000001i</v>
      </c>
      <c r="AR7" s="105" t="str">
        <f t="shared" si="3"/>
        <v>0.00858412698412699+1.54514285714286i</v>
      </c>
      <c r="AS7" s="93" t="str">
        <f t="shared" si="4"/>
        <v>9999999999+9999999i</v>
      </c>
      <c r="AU7" s="87" t="str">
        <f t="shared" si="1"/>
        <v>0.00858412798412699+1.54514285714286i</v>
      </c>
      <c r="AV7" s="87" t="str">
        <f t="shared" si="5"/>
        <v>70389852.8064+15451514411.1547i</v>
      </c>
      <c r="AW7" s="87" t="str">
        <f t="shared" si="6"/>
        <v>9999999999.00858+10000000.5451429i</v>
      </c>
      <c r="AX7" s="87" t="str">
        <f t="shared" si="7"/>
        <v>0.00858412822286338+1.54514285713997i</v>
      </c>
      <c r="AY7" s="87" t="str">
        <f t="shared" si="8"/>
        <v>0.00868412822286338-8.54597530864483i</v>
      </c>
      <c r="AZ7" s="87">
        <f t="shared" si="9"/>
        <v>1.7999999999999998</v>
      </c>
      <c r="BA7" s="87">
        <f t="shared" si="10"/>
        <v>8.545979720900938</v>
      </c>
    </row>
    <row r="8" spans="2:57" ht="18" x14ac:dyDescent="0.35">
      <c r="B8" s="91" t="s">
        <v>103</v>
      </c>
      <c r="D8" s="98">
        <v>4.16</v>
      </c>
      <c r="E8" s="87" t="s">
        <v>1</v>
      </c>
      <c r="H8" s="172" t="s">
        <v>169</v>
      </c>
      <c r="I8" s="287" t="s">
        <v>273</v>
      </c>
      <c r="J8" s="288"/>
      <c r="K8" s="288"/>
      <c r="L8" s="289"/>
      <c r="N8" s="87" t="s">
        <v>144</v>
      </c>
      <c r="O8" s="98">
        <v>2.13</v>
      </c>
      <c r="P8" s="87" t="s">
        <v>166</v>
      </c>
      <c r="AO8" s="87">
        <f t="shared" si="11"/>
        <v>1.9999999999999998</v>
      </c>
      <c r="AP8" s="126" t="str">
        <f t="shared" si="0"/>
        <v>0.0001-9.08200634920635i</v>
      </c>
      <c r="AQ8" s="105" t="str">
        <f t="shared" si="2"/>
        <v>0.000000001-0.00000000000000001i</v>
      </c>
      <c r="AR8" s="105" t="str">
        <f t="shared" si="3"/>
        <v>0.00858412698412699+1.7168253968254i</v>
      </c>
      <c r="AS8" s="93" t="str">
        <f t="shared" si="4"/>
        <v>9999999999+9999999i</v>
      </c>
      <c r="AU8" s="87" t="str">
        <f t="shared" si="1"/>
        <v>0.00858412798412699+1.7168253968254i</v>
      </c>
      <c r="AV8" s="87" t="str">
        <f t="shared" si="5"/>
        <v>68673027.5812572+17168339807.8084i</v>
      </c>
      <c r="AW8" s="87" t="str">
        <f t="shared" si="6"/>
        <v>9999999999.00858+10000000.7168254i</v>
      </c>
      <c r="AX8" s="87" t="str">
        <f t="shared" si="7"/>
        <v>0.00858412827886533+1.71682539682216i</v>
      </c>
      <c r="AY8" s="87" t="str">
        <f t="shared" si="8"/>
        <v>0.00868412827886533-7.36518095238419i</v>
      </c>
      <c r="AZ8" s="87">
        <f t="shared" si="9"/>
        <v>1.9999999999999998</v>
      </c>
      <c r="BA8" s="87">
        <f t="shared" si="10"/>
        <v>7.3651860720179254</v>
      </c>
    </row>
    <row r="9" spans="2:57" ht="18" x14ac:dyDescent="0.35">
      <c r="B9" s="91" t="s">
        <v>104</v>
      </c>
      <c r="D9" s="148">
        <v>1000</v>
      </c>
      <c r="E9" s="87" t="s">
        <v>11</v>
      </c>
      <c r="F9" s="176"/>
      <c r="H9" s="172" t="s">
        <v>170</v>
      </c>
      <c r="I9" s="290" t="s">
        <v>274</v>
      </c>
      <c r="J9" s="291"/>
      <c r="K9" s="291"/>
      <c r="L9" s="292"/>
      <c r="N9" s="87" t="s">
        <v>145</v>
      </c>
      <c r="O9" s="107">
        <v>149.69999999999999</v>
      </c>
      <c r="P9" s="87" t="s">
        <v>9</v>
      </c>
      <c r="AO9" s="87">
        <f t="shared" si="11"/>
        <v>2.1999999999999997</v>
      </c>
      <c r="AP9" s="126" t="str">
        <f t="shared" si="0"/>
        <v>0.0001-8.25636940836941i</v>
      </c>
      <c r="AQ9" s="105" t="str">
        <f t="shared" si="2"/>
        <v>0.000000001-0.00000000000000001i</v>
      </c>
      <c r="AR9" s="105" t="str">
        <f t="shared" si="3"/>
        <v>0.00858412698412699+1.88850793650794i</v>
      </c>
      <c r="AS9" s="93" t="str">
        <f t="shared" si="4"/>
        <v>9999999999+9999999i</v>
      </c>
      <c r="AU9" s="87" t="str">
        <f t="shared" si="1"/>
        <v>0.00858412798412699+1.88850793650794i</v>
      </c>
      <c r="AV9" s="87" t="str">
        <f t="shared" si="5"/>
        <v>66956202.3561143+18885165204.4621i</v>
      </c>
      <c r="AW9" s="87" t="str">
        <f t="shared" si="6"/>
        <v>9999999999.00858+10000000.8885079i</v>
      </c>
      <c r="AX9" s="87" t="str">
        <f t="shared" si="7"/>
        <v>0.00858412834076224+1.88850793650434i</v>
      </c>
      <c r="AY9" s="87" t="str">
        <f t="shared" si="8"/>
        <v>0.00868412834076224-6.36786147186507i</v>
      </c>
      <c r="AZ9" s="87">
        <f t="shared" si="9"/>
        <v>2.1999999999999997</v>
      </c>
      <c r="BA9" s="87">
        <f t="shared" si="10"/>
        <v>6.3678673933231842</v>
      </c>
    </row>
    <row r="10" spans="2:57" ht="18.75" x14ac:dyDescent="0.35">
      <c r="B10" s="91" t="s">
        <v>105</v>
      </c>
      <c r="D10" s="107">
        <v>4.5999999999999996</v>
      </c>
      <c r="E10" s="87" t="s">
        <v>84</v>
      </c>
      <c r="F10" s="87" t="s">
        <v>0</v>
      </c>
      <c r="N10" s="95" t="s">
        <v>146</v>
      </c>
      <c r="O10" s="89">
        <f>2*3.1415*D11*O9/1000</f>
        <v>56.433905999999993</v>
      </c>
      <c r="P10" s="87" t="s">
        <v>3</v>
      </c>
      <c r="AO10" s="87">
        <f t="shared" si="11"/>
        <v>2.4</v>
      </c>
      <c r="AP10" s="126" t="str">
        <f t="shared" si="0"/>
        <v>0.0001-7.56833862433863i</v>
      </c>
      <c r="AQ10" s="105" t="str">
        <f t="shared" si="2"/>
        <v>0.000000001-0.00000000000000001i</v>
      </c>
      <c r="AR10" s="105" t="str">
        <f t="shared" si="3"/>
        <v>0.00858412698412699+2.06019047619048i</v>
      </c>
      <c r="AS10" s="93" t="str">
        <f t="shared" si="4"/>
        <v>9999999999+9999999i</v>
      </c>
      <c r="AU10" s="87" t="str">
        <f t="shared" si="1"/>
        <v>0.00858412798412699+2.06019047619048i</v>
      </c>
      <c r="AV10" s="87" t="str">
        <f t="shared" si="5"/>
        <v>65239377.1309714+20601990601.1159i</v>
      </c>
      <c r="AW10" s="87" t="str">
        <f t="shared" si="6"/>
        <v>9999999999.00858+10000001.0601905i</v>
      </c>
      <c r="AX10" s="87" t="str">
        <f t="shared" si="7"/>
        <v>0.00858412840855415+2.06019047618652i</v>
      </c>
      <c r="AY10" s="87" t="str">
        <f t="shared" si="8"/>
        <v>0.00868412840855415-5.50814814815211i</v>
      </c>
      <c r="AZ10" s="87">
        <f t="shared" si="9"/>
        <v>2.4</v>
      </c>
      <c r="BA10" s="87">
        <f t="shared" si="10"/>
        <v>5.5081549938321208</v>
      </c>
    </row>
    <row r="11" spans="2:57" ht="18.75" x14ac:dyDescent="0.35">
      <c r="B11" s="91" t="s">
        <v>106</v>
      </c>
      <c r="D11" s="98">
        <v>60</v>
      </c>
      <c r="E11" s="87" t="s">
        <v>8</v>
      </c>
      <c r="N11" s="95" t="s">
        <v>147</v>
      </c>
      <c r="O11" s="89">
        <f>1/(2*3.1415*D11*(O8/(1000*1000)))</f>
        <v>1245.3805721128901</v>
      </c>
      <c r="P11" s="87" t="s">
        <v>3</v>
      </c>
      <c r="AO11" s="87">
        <f t="shared" si="11"/>
        <v>2.6</v>
      </c>
      <c r="AP11" s="126" t="str">
        <f t="shared" si="0"/>
        <v>0.0001-6.98615873015873i</v>
      </c>
      <c r="AQ11" s="105" t="str">
        <f t="shared" si="2"/>
        <v>0.000000001-0.00000000000000001i</v>
      </c>
      <c r="AR11" s="105" t="str">
        <f t="shared" si="3"/>
        <v>0.00858412698412699+2.23187301587302i</v>
      </c>
      <c r="AS11" s="93" t="str">
        <f t="shared" si="4"/>
        <v>9999999999+9999999i</v>
      </c>
      <c r="AU11" s="87" t="str">
        <f t="shared" si="1"/>
        <v>0.00858412798412699+2.23187301587302i</v>
      </c>
      <c r="AV11" s="87" t="str">
        <f t="shared" si="5"/>
        <v>63522551.9058286+22318815997.7696i</v>
      </c>
      <c r="AW11" s="87" t="str">
        <f t="shared" si="6"/>
        <v>9999999999.00858+10000001.231873i</v>
      </c>
      <c r="AX11" s="87" t="str">
        <f t="shared" si="7"/>
        <v>0.00858412848224101+2.23187301586869i</v>
      </c>
      <c r="AY11" s="87" t="str">
        <f t="shared" si="8"/>
        <v>0.00868412848224101-4.75428571429004i</v>
      </c>
      <c r="AZ11" s="87">
        <f t="shared" si="9"/>
        <v>2.6</v>
      </c>
      <c r="BA11" s="87">
        <f t="shared" si="10"/>
        <v>4.7542936454524813</v>
      </c>
    </row>
    <row r="12" spans="2:57" ht="18" x14ac:dyDescent="0.35">
      <c r="B12" s="91" t="s">
        <v>107</v>
      </c>
      <c r="D12" s="138">
        <f>D10*D11</f>
        <v>276</v>
      </c>
      <c r="E12" s="87" t="s">
        <v>83</v>
      </c>
      <c r="K12" s="87" t="s">
        <v>0</v>
      </c>
      <c r="N12" s="95" t="s">
        <v>167</v>
      </c>
      <c r="O12" s="135">
        <f>SQRT(O11/O10)</f>
        <v>4.6976535870447291</v>
      </c>
      <c r="AO12" s="87">
        <f t="shared" si="11"/>
        <v>2.8000000000000003</v>
      </c>
      <c r="AP12" s="126" t="str">
        <f t="shared" si="0"/>
        <v>0.0001-6.48714739229025i</v>
      </c>
      <c r="AQ12" s="105" t="str">
        <f t="shared" si="2"/>
        <v>0.000000001-0.00000000000000001i</v>
      </c>
      <c r="AR12" s="105" t="str">
        <f t="shared" si="3"/>
        <v>0.00858412698412699+2.40355555555556i</v>
      </c>
      <c r="AS12" s="93" t="str">
        <f t="shared" si="4"/>
        <v>9999999999+9999999i</v>
      </c>
      <c r="AU12" s="87" t="str">
        <f t="shared" si="1"/>
        <v>0.00858412798412699+2.40355555555556i</v>
      </c>
      <c r="AV12" s="87" t="str">
        <f t="shared" si="5"/>
        <v>61805726.6806857+24035641394.4233i</v>
      </c>
      <c r="AW12" s="87" t="str">
        <f t="shared" si="6"/>
        <v>9999999999.00858+10000001.4035556i</v>
      </c>
      <c r="AX12" s="87" t="str">
        <f t="shared" si="7"/>
        <v>0.00858412856182286+2.40355555555086i</v>
      </c>
      <c r="AY12" s="87" t="str">
        <f t="shared" si="8"/>
        <v>0.00868412856182286-4.08359183673939i</v>
      </c>
      <c r="AZ12" s="87">
        <f t="shared" si="9"/>
        <v>2.8000000000000003</v>
      </c>
      <c r="BA12" s="87">
        <f t="shared" si="10"/>
        <v>4.0836010705226169</v>
      </c>
    </row>
    <row r="13" spans="2:57" ht="18" x14ac:dyDescent="0.35">
      <c r="B13" s="91" t="s">
        <v>108</v>
      </c>
      <c r="D13" s="139">
        <f>D8*D8/(D9*0.001)</f>
        <v>17.305600000000002</v>
      </c>
      <c r="E13" s="87" t="s">
        <v>3</v>
      </c>
      <c r="N13" s="95"/>
      <c r="O13" s="135"/>
      <c r="P13" s="87" t="s">
        <v>0</v>
      </c>
      <c r="AO13" s="87">
        <f t="shared" si="11"/>
        <v>3.0000000000000004</v>
      </c>
      <c r="AP13" s="126" t="str">
        <f t="shared" si="0"/>
        <v>0.0001-6.0546708994709i</v>
      </c>
      <c r="AQ13" s="105" t="str">
        <f t="shared" si="2"/>
        <v>0.000000001-0.00000000000000001i</v>
      </c>
      <c r="AR13" s="105" t="str">
        <f t="shared" si="3"/>
        <v>0.00858412698412699+2.5752380952381i</v>
      </c>
      <c r="AS13" s="93" t="str">
        <f t="shared" si="4"/>
        <v>9999999999+9999999i</v>
      </c>
      <c r="AU13" s="87" t="str">
        <f t="shared" si="1"/>
        <v>0.00858412798412699+2.5752380952381i</v>
      </c>
      <c r="AV13" s="87" t="str">
        <f t="shared" si="5"/>
        <v>60088901.4555429+25752466791.077i</v>
      </c>
      <c r="AW13" s="87" t="str">
        <f t="shared" si="6"/>
        <v>9999999999.00858+10000001.5752381i</v>
      </c>
      <c r="AX13" s="87" t="str">
        <f t="shared" si="7"/>
        <v>0.00858412864729967+2.57523809523301i</v>
      </c>
      <c r="AY13" s="87" t="str">
        <f t="shared" si="8"/>
        <v>0.00868412864729967-3.47943280423789i</v>
      </c>
      <c r="AZ13" s="87">
        <f t="shared" si="9"/>
        <v>3.0000000000000004</v>
      </c>
      <c r="BA13" s="87">
        <f t="shared" si="10"/>
        <v>3.4794436413451382</v>
      </c>
    </row>
    <row r="14" spans="2:57" ht="18.75" x14ac:dyDescent="0.35">
      <c r="B14" s="91" t="s">
        <v>200</v>
      </c>
      <c r="D14" s="139">
        <f>1000*D9*0.001/(D8*1.73)</f>
        <v>138.95064473099154</v>
      </c>
      <c r="E14" s="87" t="s">
        <v>12</v>
      </c>
      <c r="N14" s="95" t="s">
        <v>216</v>
      </c>
      <c r="O14" s="89">
        <f>$D$8*$D$8/(($O$11/3)-($O$10/3))</f>
        <v>4.3666214372538155E-2</v>
      </c>
      <c r="P14" s="87" t="s">
        <v>2</v>
      </c>
      <c r="AO14" s="87">
        <f t="shared" si="11"/>
        <v>3.2000000000000006</v>
      </c>
      <c r="AP14" s="126" t="str">
        <f t="shared" si="0"/>
        <v>0.0001-5.67625396825397i</v>
      </c>
      <c r="AQ14" s="105" t="str">
        <f t="shared" si="2"/>
        <v>0.000000001-0.00000000000000001i</v>
      </c>
      <c r="AR14" s="105" t="str">
        <f t="shared" si="3"/>
        <v>0.00858412698412699+2.74692063492064i</v>
      </c>
      <c r="AS14" s="93" t="str">
        <f t="shared" si="4"/>
        <v>9999999999+9999999i</v>
      </c>
      <c r="AU14" s="87" t="str">
        <f t="shared" si="1"/>
        <v>0.00858412798412699+2.74692063492064i</v>
      </c>
      <c r="AV14" s="87" t="str">
        <f t="shared" si="5"/>
        <v>58372076.2304+27469292187.7307i</v>
      </c>
      <c r="AW14" s="87" t="str">
        <f t="shared" si="6"/>
        <v>9999999999.00858+10000001.7469206i</v>
      </c>
      <c r="AX14" s="87" t="str">
        <f t="shared" si="7"/>
        <v>0.00858412873867144+2.74692063491517i</v>
      </c>
      <c r="AY14" s="87" t="str">
        <f t="shared" si="8"/>
        <v>0.00868412873867144-2.9293333333388i</v>
      </c>
      <c r="AZ14" s="87">
        <f t="shared" si="9"/>
        <v>3.2000000000000006</v>
      </c>
      <c r="BA14" s="87">
        <f t="shared" si="10"/>
        <v>2.9293462055383204</v>
      </c>
    </row>
    <row r="15" spans="2:57" ht="18" x14ac:dyDescent="0.35">
      <c r="B15" s="91" t="s">
        <v>201</v>
      </c>
      <c r="D15" s="187">
        <f>SQRT(SUM(T86:AA86,T80:AA80))</f>
        <v>143.22704624338803</v>
      </c>
      <c r="E15" s="103" t="s">
        <v>12</v>
      </c>
      <c r="AO15" s="87">
        <f t="shared" si="11"/>
        <v>3.4000000000000008</v>
      </c>
      <c r="AP15" s="126" t="str">
        <f t="shared" si="0"/>
        <v>0.0001-5.34235667600373i</v>
      </c>
      <c r="AQ15" s="105" t="str">
        <f t="shared" si="2"/>
        <v>0.000000001-0.00000000000000001i</v>
      </c>
      <c r="AR15" s="105" t="str">
        <f t="shared" si="3"/>
        <v>0.00858412698412699+2.91860317460318i</v>
      </c>
      <c r="AS15" s="93" t="str">
        <f t="shared" si="4"/>
        <v>9999999999+9999999i</v>
      </c>
      <c r="AU15" s="87" t="str">
        <f t="shared" si="1"/>
        <v>0.00858412798412699+2.91860317460318i</v>
      </c>
      <c r="AV15" s="87" t="str">
        <f t="shared" si="5"/>
        <v>56655251.0052571+29186117584.3845i</v>
      </c>
      <c r="AW15" s="87" t="str">
        <f t="shared" si="6"/>
        <v>9999999999.00858+10000001.9186032i</v>
      </c>
      <c r="AX15" s="87" t="str">
        <f t="shared" si="7"/>
        <v>0.00858412883593822+2.91860317459732i</v>
      </c>
      <c r="AY15" s="87" t="str">
        <f t="shared" si="8"/>
        <v>0.00868412883593822-2.42375350140641i</v>
      </c>
      <c r="AZ15" s="87">
        <f t="shared" si="9"/>
        <v>3.4000000000000008</v>
      </c>
      <c r="BA15" s="87">
        <f t="shared" si="10"/>
        <v>2.4237690586509006</v>
      </c>
    </row>
    <row r="16" spans="2:57" ht="21" x14ac:dyDescent="0.35">
      <c r="N16" s="136" t="s">
        <v>218</v>
      </c>
      <c r="O16" s="136"/>
      <c r="P16" s="136"/>
      <c r="AO16" s="87">
        <f t="shared" si="11"/>
        <v>3.600000000000001</v>
      </c>
      <c r="AP16" s="126" t="str">
        <f t="shared" si="0"/>
        <v>0.0001-5.04555908289242i</v>
      </c>
      <c r="AQ16" s="105" t="str">
        <f t="shared" si="2"/>
        <v>0.000000001-0.00000000000000001i</v>
      </c>
      <c r="AR16" s="105" t="str">
        <f t="shared" si="3"/>
        <v>0.00858412698412699+3.09028571428572i</v>
      </c>
      <c r="AS16" s="93" t="str">
        <f t="shared" si="4"/>
        <v>9999999999+9999999i</v>
      </c>
      <c r="AU16" s="87" t="str">
        <f t="shared" si="1"/>
        <v>0.00858412798412699+3.09028571428572i</v>
      </c>
      <c r="AV16" s="87" t="str">
        <f t="shared" si="5"/>
        <v>54938425.7801143+30902942981.0382i</v>
      </c>
      <c r="AW16" s="87" t="str">
        <f t="shared" si="6"/>
        <v>9999999999.00858+10000002.0902857i</v>
      </c>
      <c r="AX16" s="87" t="str">
        <f t="shared" si="7"/>
        <v>0.00858412893909995+3.09028571427946i</v>
      </c>
      <c r="AY16" s="87" t="str">
        <f t="shared" si="8"/>
        <v>0.00868412893909995-1.95527336861296i</v>
      </c>
      <c r="AZ16" s="87">
        <f t="shared" si="9"/>
        <v>3.600000000000001</v>
      </c>
      <c r="BA16" s="87">
        <f t="shared" si="10"/>
        <v>1.9552926533136934</v>
      </c>
    </row>
    <row r="17" spans="2:53" ht="18" x14ac:dyDescent="0.35">
      <c r="B17" s="91" t="s">
        <v>202</v>
      </c>
      <c r="D17" s="89">
        <f>0.5774*D14</f>
        <v>80.230102267674525</v>
      </c>
      <c r="E17" s="87" t="s">
        <v>12</v>
      </c>
      <c r="AO17" s="87">
        <f t="shared" si="11"/>
        <v>3.8000000000000012</v>
      </c>
      <c r="AP17" s="126" t="str">
        <f t="shared" si="0"/>
        <v>0.0001-4.78000334168755i</v>
      </c>
      <c r="AQ17" s="105" t="str">
        <f t="shared" si="2"/>
        <v>0.000000001-0.00000000000000001i</v>
      </c>
      <c r="AR17" s="105" t="str">
        <f t="shared" si="3"/>
        <v>0.00858412698412699+3.26196825396826i</v>
      </c>
      <c r="AS17" s="93" t="str">
        <f t="shared" si="4"/>
        <v>9999999999+9999999i</v>
      </c>
      <c r="AU17" s="87" t="str">
        <f t="shared" si="1"/>
        <v>0.00858412798412699+3.26196825396826i</v>
      </c>
      <c r="AV17" s="87" t="str">
        <f t="shared" si="5"/>
        <v>53221600.5549714+32619768377.6919i</v>
      </c>
      <c r="AW17" s="87" t="str">
        <f t="shared" si="6"/>
        <v>9999999999.00858+10000002.2619683i</v>
      </c>
      <c r="AX17" s="87" t="str">
        <f t="shared" si="7"/>
        <v>0.00858412904815667+3.2619682539616i</v>
      </c>
      <c r="AY17" s="87" t="str">
        <f t="shared" si="8"/>
        <v>0.00868412904815667-1.51803508772595i</v>
      </c>
      <c r="AZ17" s="87">
        <f t="shared" si="9"/>
        <v>3.8000000000000012</v>
      </c>
      <c r="BA17" s="87">
        <f t="shared" si="10"/>
        <v>1.5180599269015891</v>
      </c>
    </row>
    <row r="18" spans="2:53" ht="18" x14ac:dyDescent="0.35">
      <c r="B18" s="91" t="s">
        <v>203</v>
      </c>
      <c r="D18" s="89">
        <f>0.5774*D15</f>
        <v>82.699296500932249</v>
      </c>
      <c r="E18" s="87" t="s">
        <v>12</v>
      </c>
      <c r="N18" s="87" t="s">
        <v>219</v>
      </c>
      <c r="O18" s="160">
        <v>438</v>
      </c>
      <c r="P18" s="87" t="s">
        <v>11</v>
      </c>
      <c r="AO18" s="87">
        <f t="shared" si="11"/>
        <v>4.0000000000000009</v>
      </c>
      <c r="AP18" s="126" t="str">
        <f t="shared" si="0"/>
        <v>0.0001-4.54100317460317i</v>
      </c>
      <c r="AQ18" s="105" t="str">
        <f t="shared" si="2"/>
        <v>0.000000001-0.00000000000000001i</v>
      </c>
      <c r="AR18" s="105" t="str">
        <f t="shared" si="3"/>
        <v>0.00858412698412699+3.4336507936508i</v>
      </c>
      <c r="AS18" s="93" t="str">
        <f t="shared" si="4"/>
        <v>9999999999+9999999i</v>
      </c>
      <c r="AU18" s="87" t="str">
        <f t="shared" si="1"/>
        <v>0.00858412798412699+3.4336507936508i</v>
      </c>
      <c r="AV18" s="87" t="str">
        <f t="shared" si="5"/>
        <v>51504775.3298286+34336593774.3456i</v>
      </c>
      <c r="AW18" s="87" t="str">
        <f t="shared" si="6"/>
        <v>9999999999.00858+10000002.4336508i</v>
      </c>
      <c r="AX18" s="87" t="str">
        <f t="shared" si="7"/>
        <v>0.00858412916310834+3.43365079364373i</v>
      </c>
      <c r="AY18" s="87" t="str">
        <f t="shared" si="8"/>
        <v>0.00868412916310834-1.10735238095944i</v>
      </c>
      <c r="AZ18" s="87">
        <f t="shared" si="9"/>
        <v>4.0000000000000009</v>
      </c>
      <c r="BA18" s="87">
        <f t="shared" si="10"/>
        <v>1.1073864319720839</v>
      </c>
    </row>
    <row r="19" spans="2:53" x14ac:dyDescent="0.25">
      <c r="B19" s="91"/>
      <c r="D19" s="93"/>
      <c r="N19" s="87" t="s">
        <v>220</v>
      </c>
      <c r="O19" s="185">
        <v>60</v>
      </c>
      <c r="P19" s="87" t="s">
        <v>222</v>
      </c>
      <c r="AO19" s="87">
        <f t="shared" si="11"/>
        <v>4.2000000000000011</v>
      </c>
      <c r="AP19" s="126" t="str">
        <f t="shared" si="0"/>
        <v>0.0001-4.3247649281935i</v>
      </c>
      <c r="AQ19" s="105" t="str">
        <f t="shared" si="2"/>
        <v>0.000000001-0.00000000000000001i</v>
      </c>
      <c r="AR19" s="105" t="str">
        <f t="shared" si="3"/>
        <v>0.00858412698412699+3.60533333333334i</v>
      </c>
      <c r="AS19" s="93" t="str">
        <f t="shared" si="4"/>
        <v>9999999999+9999999i</v>
      </c>
      <c r="AU19" s="87" t="str">
        <f t="shared" si="1"/>
        <v>0.00858412798412699+3.60533333333334i</v>
      </c>
      <c r="AV19" s="87" t="str">
        <f t="shared" si="5"/>
        <v>49787950.1046857+36053419170.9993i</v>
      </c>
      <c r="AW19" s="87" t="str">
        <f t="shared" si="6"/>
        <v>9999999999.00858+10000002.6053333i</v>
      </c>
      <c r="AX19" s="87" t="str">
        <f t="shared" si="7"/>
        <v>0.00858412928395497+3.60533333332585i</v>
      </c>
      <c r="AY19" s="87" t="str">
        <f t="shared" si="8"/>
        <v>0.00868412928395497-0.71943159486765i</v>
      </c>
      <c r="AZ19" s="87">
        <f t="shared" si="9"/>
        <v>4.2000000000000011</v>
      </c>
      <c r="BA19" s="87">
        <f t="shared" si="10"/>
        <v>0.71948400523933176</v>
      </c>
    </row>
    <row r="20" spans="2:53" ht="18.75" x14ac:dyDescent="0.35">
      <c r="B20" s="95" t="s">
        <v>204</v>
      </c>
      <c r="D20" s="139">
        <f>(D10*D10/(D10*D10-1))*D13</f>
        <v>18.164012698412701</v>
      </c>
      <c r="E20" s="87" t="s">
        <v>3</v>
      </c>
      <c r="N20" s="87" t="s">
        <v>221</v>
      </c>
      <c r="O20" s="160">
        <v>4.16</v>
      </c>
      <c r="P20" s="87" t="s">
        <v>1</v>
      </c>
      <c r="AO20" s="87">
        <f t="shared" si="11"/>
        <v>4.4000000000000012</v>
      </c>
      <c r="AP20" s="126" t="str">
        <f t="shared" si="0"/>
        <v>0.0001-4.1281847041847i</v>
      </c>
      <c r="AQ20" s="105" t="str">
        <f t="shared" si="2"/>
        <v>0.000000001-0.00000000000000001i</v>
      </c>
      <c r="AR20" s="105" t="str">
        <f t="shared" si="3"/>
        <v>0.00858412698412699+3.77701587301588i</v>
      </c>
      <c r="AS20" s="93" t="str">
        <f t="shared" si="4"/>
        <v>9999999999+9999999i</v>
      </c>
      <c r="AU20" s="87" t="str">
        <f t="shared" si="1"/>
        <v>0.00858412798412699+3.77701587301588i</v>
      </c>
      <c r="AV20" s="87" t="str">
        <f t="shared" si="5"/>
        <v>48071124.8795428+37770244567.653i</v>
      </c>
      <c r="AW20" s="87" t="str">
        <f t="shared" si="6"/>
        <v>9999999999.00858+10000002.7770159i</v>
      </c>
      <c r="AX20" s="87" t="str">
        <f t="shared" si="7"/>
        <v>0.00858412941069661+3.77701587300797i</v>
      </c>
      <c r="AY20" s="87" t="str">
        <f t="shared" si="8"/>
        <v>0.00868412941069661-0.35116883117673i</v>
      </c>
      <c r="AZ20" s="87">
        <f t="shared" si="9"/>
        <v>4.4000000000000012</v>
      </c>
      <c r="BA20" s="87">
        <f t="shared" si="10"/>
        <v>0.35127619061594884</v>
      </c>
    </row>
    <row r="21" spans="2:53" ht="18" x14ac:dyDescent="0.35">
      <c r="B21" s="91" t="s">
        <v>205</v>
      </c>
      <c r="D21" s="139">
        <f>3*D20</f>
        <v>54.492038095238101</v>
      </c>
      <c r="E21" s="87" t="s">
        <v>3</v>
      </c>
      <c r="N21" s="87" t="s">
        <v>144</v>
      </c>
      <c r="O21" s="243">
        <f>ROUND(1000*1000/(O22*2*3.1415*O19),2)</f>
        <v>67.14</v>
      </c>
      <c r="P21" s="87" t="s">
        <v>166</v>
      </c>
      <c r="AO21" s="87">
        <f t="shared" si="11"/>
        <v>4.6000000000000014</v>
      </c>
      <c r="AP21" s="126" t="str">
        <f t="shared" si="0"/>
        <v>0.0001-3.94869841269841i</v>
      </c>
      <c r="AQ21" s="105" t="str">
        <f t="shared" si="2"/>
        <v>0.000000001-0.00000000000000001i</v>
      </c>
      <c r="AR21" s="105" t="str">
        <f t="shared" si="3"/>
        <v>0.00858412698412699+3.94869841269842i</v>
      </c>
      <c r="AS21" s="93" t="str">
        <f t="shared" si="4"/>
        <v>9999999999+9999999i</v>
      </c>
      <c r="AU21" s="87" t="str">
        <f t="shared" si="1"/>
        <v>0.00858412798412699+3.94869841269842i</v>
      </c>
      <c r="AV21" s="87" t="str">
        <f t="shared" si="5"/>
        <v>46354299.6544+39487069964.3068i</v>
      </c>
      <c r="AW21" s="87" t="str">
        <f t="shared" si="6"/>
        <v>9999999999.00858+10000002.9486984i</v>
      </c>
      <c r="AX21" s="87" t="str">
        <f t="shared" si="7"/>
        <v>0.00858412954333321+3.94869841269009i</v>
      </c>
      <c r="AY21" s="87" t="str">
        <f t="shared" si="8"/>
        <v>0.00868412954333321-8.32001134654092E-12i</v>
      </c>
      <c r="AZ21" s="87">
        <f t="shared" si="9"/>
        <v>4.6000000000000014</v>
      </c>
      <c r="BA21" s="87">
        <f t="shared" si="10"/>
        <v>8.6841295433332105E-3</v>
      </c>
    </row>
    <row r="22" spans="2:53" ht="18.75" x14ac:dyDescent="0.35">
      <c r="K22" s="106" t="s">
        <v>151</v>
      </c>
      <c r="L22" s="128" t="str">
        <f>ROUND(1000*1000/(2*3.1415*D11*D21),2)&amp;" micro-farads/Phase"</f>
        <v>48.68 micro-farads/Phase</v>
      </c>
      <c r="N22" s="95" t="s">
        <v>147</v>
      </c>
      <c r="O22" s="243">
        <f>O20*O20/(O18/1000)</f>
        <v>39.510502283105026</v>
      </c>
      <c r="P22" s="87" t="s">
        <v>3</v>
      </c>
      <c r="AO22" s="87">
        <f t="shared" si="11"/>
        <v>4.8000000000000016</v>
      </c>
      <c r="AP22" s="126" t="str">
        <f t="shared" si="0"/>
        <v>0.0001-3.78416931216931i</v>
      </c>
      <c r="AQ22" s="105" t="str">
        <f t="shared" si="2"/>
        <v>0.000000001-0.00000000000000001i</v>
      </c>
      <c r="AR22" s="105" t="str">
        <f t="shared" si="3"/>
        <v>0.00858412698412699+4.12038095238096i</v>
      </c>
      <c r="AS22" s="93" t="str">
        <f t="shared" si="4"/>
        <v>9999999999+9999999i</v>
      </c>
      <c r="AU22" s="87" t="str">
        <f t="shared" si="1"/>
        <v>0.00858412798412699+4.12038095238096i</v>
      </c>
      <c r="AV22" s="87" t="str">
        <f t="shared" si="5"/>
        <v>44637474.4292571+41203895360.9605i</v>
      </c>
      <c r="AW22" s="87" t="str">
        <f t="shared" si="6"/>
        <v>9999999999.00858+10000003.120381i</v>
      </c>
      <c r="AX22" s="87" t="str">
        <f t="shared" si="7"/>
        <v>0.00858412968186479+4.12038095237219i</v>
      </c>
      <c r="AY22" s="87" t="str">
        <f t="shared" si="8"/>
        <v>0.00868412968186479+0.33621164020288i</v>
      </c>
      <c r="AZ22" s="87">
        <f t="shared" si="9"/>
        <v>4.8000000000000016</v>
      </c>
      <c r="BA22" s="87">
        <f t="shared" si="10"/>
        <v>0.33632377423584303</v>
      </c>
    </row>
    <row r="23" spans="2:53" ht="34.5" customHeight="1" x14ac:dyDescent="0.25">
      <c r="B23" s="121" t="s">
        <v>206</v>
      </c>
      <c r="D23" s="145">
        <f>D20/(D10*D10)</f>
        <v>0.85841269841269874</v>
      </c>
      <c r="E23" s="101" t="s">
        <v>5</v>
      </c>
      <c r="I23" s="87" t="s">
        <v>0</v>
      </c>
      <c r="N23" s="195" t="s">
        <v>223</v>
      </c>
      <c r="O23" s="25">
        <f>O18/O20</f>
        <v>105.28846153846153</v>
      </c>
      <c r="P23" s="195" t="s">
        <v>53</v>
      </c>
      <c r="AO23" s="178">
        <f t="shared" si="11"/>
        <v>5.0000000000000018</v>
      </c>
      <c r="AP23" s="179" t="str">
        <f t="shared" si="0"/>
        <v>0.0001-3.63280253968254i</v>
      </c>
      <c r="AQ23" s="105" t="str">
        <f t="shared" si="2"/>
        <v>0.000000001-0.00000000000000001i</v>
      </c>
      <c r="AR23" s="180" t="str">
        <f t="shared" si="3"/>
        <v>0.00858412698412699+4.2920634920635i</v>
      </c>
      <c r="AS23" s="93" t="str">
        <f t="shared" si="4"/>
        <v>9999999999+9999999i</v>
      </c>
      <c r="AT23" s="178"/>
      <c r="AU23" s="178" t="str">
        <f t="shared" si="1"/>
        <v>0.00858412798412699+4.2920634920635i</v>
      </c>
      <c r="AV23" s="178" t="str">
        <f t="shared" si="5"/>
        <v>42920649.2041143+42920720757.6142i</v>
      </c>
      <c r="AW23" s="178" t="str">
        <f t="shared" si="6"/>
        <v>9999999999.00858+10000003.2920635i</v>
      </c>
      <c r="AX23" s="178" t="str">
        <f t="shared" si="7"/>
        <v>0.00858412982629133+4.29206349205429i</v>
      </c>
      <c r="AY23" s="178" t="str">
        <f t="shared" si="8"/>
        <v>0.00868412982629133+0.659260952371751i</v>
      </c>
      <c r="AZ23" s="178">
        <f t="shared" si="9"/>
        <v>5.0000000000000018</v>
      </c>
      <c r="BA23" s="178">
        <f t="shared" si="10"/>
        <v>0.6593181458392815</v>
      </c>
    </row>
    <row r="24" spans="2:53" ht="33" x14ac:dyDescent="0.25">
      <c r="B24" s="121" t="s">
        <v>209</v>
      </c>
      <c r="D24" s="48">
        <f>3*D23</f>
        <v>2.5752380952380962</v>
      </c>
      <c r="E24" s="101" t="s">
        <v>3</v>
      </c>
      <c r="AO24" s="87">
        <f t="shared" si="11"/>
        <v>5.200000000000002</v>
      </c>
      <c r="AP24" s="126" t="str">
        <f t="shared" si="0"/>
        <v>0.0001-3.49307936507936i</v>
      </c>
      <c r="AQ24" s="105" t="str">
        <f t="shared" si="2"/>
        <v>0.000000001-0.00000000000000001i</v>
      </c>
      <c r="AR24" s="105" t="str">
        <f t="shared" si="3"/>
        <v>0.00858412698412699+4.46374603174603i</v>
      </c>
      <c r="AS24" s="93" t="str">
        <f t="shared" si="4"/>
        <v>9999999999+9999999i</v>
      </c>
      <c r="AU24" s="87" t="str">
        <f t="shared" si="1"/>
        <v>0.00858412798412699+4.46374603174603i</v>
      </c>
      <c r="AV24" s="87" t="str">
        <f t="shared" si="5"/>
        <v>41203823.9789715+44637546154.2678i</v>
      </c>
      <c r="AW24" s="87" t="str">
        <f t="shared" si="6"/>
        <v>9999999999.00858+10000003.463746i</v>
      </c>
      <c r="AX24" s="87" t="str">
        <f t="shared" si="7"/>
        <v>0.00858412997661282+4.46374603173637i</v>
      </c>
      <c r="AY24" s="87" t="str">
        <f t="shared" si="8"/>
        <v>0.00868412997661282+0.970666666657011i</v>
      </c>
      <c r="AZ24" s="87">
        <f t="shared" si="9"/>
        <v>5.200000000000002</v>
      </c>
      <c r="BA24" s="87">
        <f t="shared" si="10"/>
        <v>0.9707055124354057</v>
      </c>
    </row>
    <row r="25" spans="2:53" ht="28.5" customHeight="1" x14ac:dyDescent="0.25">
      <c r="B25" s="123" t="s">
        <v>207</v>
      </c>
      <c r="D25" s="145">
        <f>1000*D23/(2*3.1415*D11)</f>
        <v>2.2770775595859165</v>
      </c>
      <c r="E25" s="101" t="s">
        <v>9</v>
      </c>
      <c r="AO25" s="87">
        <f t="shared" si="11"/>
        <v>5.4000000000000021</v>
      </c>
      <c r="AP25" s="126" t="str">
        <f t="shared" si="0"/>
        <v>0.0001-3.36370605526161i</v>
      </c>
      <c r="AQ25" s="105" t="str">
        <f t="shared" si="2"/>
        <v>0.000000001-0.00000000000000001i</v>
      </c>
      <c r="AR25" s="105" t="str">
        <f t="shared" si="3"/>
        <v>0.00858412698412699+4.63542857142857i</v>
      </c>
      <c r="AS25" s="93" t="str">
        <f t="shared" si="4"/>
        <v>9999999999+9999999i</v>
      </c>
      <c r="AU25" s="87" t="str">
        <f t="shared" si="1"/>
        <v>0.00858412798412699+4.63542857142857i</v>
      </c>
      <c r="AV25" s="87" t="str">
        <f t="shared" si="5"/>
        <v>39486998.7538286+46354371550.9215i</v>
      </c>
      <c r="AW25" s="87" t="str">
        <f t="shared" si="6"/>
        <v>9999999999.00858+10000003.6354286i</v>
      </c>
      <c r="AX25" s="87" t="str">
        <f t="shared" si="7"/>
        <v>0.00858413013282933+4.63542857141846i</v>
      </c>
      <c r="AY25" s="87" t="str">
        <f t="shared" si="8"/>
        <v>0.00868413013282933+1.27172251615685i</v>
      </c>
      <c r="AZ25" s="87">
        <f t="shared" si="9"/>
        <v>5.4000000000000021</v>
      </c>
      <c r="BA25" s="87">
        <f t="shared" si="10"/>
        <v>1.2717521661929549</v>
      </c>
    </row>
    <row r="26" spans="2:53" ht="28.5" customHeight="1" x14ac:dyDescent="0.25">
      <c r="B26" s="123" t="s">
        <v>208</v>
      </c>
      <c r="D26" s="145">
        <f>3*D25</f>
        <v>6.8312326787577495</v>
      </c>
      <c r="E26" s="101" t="s">
        <v>9</v>
      </c>
      <c r="AP26" s="126"/>
      <c r="AQ26" s="105" t="str">
        <f t="shared" si="2"/>
        <v>0.000000001-0.00000000000000001i</v>
      </c>
      <c r="AR26" s="105"/>
      <c r="AS26" s="93"/>
    </row>
    <row r="27" spans="2:53" ht="33" x14ac:dyDescent="0.25">
      <c r="B27" s="122" t="s">
        <v>150</v>
      </c>
      <c r="D27" s="160">
        <v>100</v>
      </c>
      <c r="E27" s="124" t="s">
        <v>133</v>
      </c>
      <c r="AO27" s="87">
        <f>AO25+0.2</f>
        <v>5.6000000000000023</v>
      </c>
      <c r="AP27" s="126" t="str">
        <f t="shared" ref="AP27:AP91" si="12">COMPLEX(0.0001,-1*$D$20/AO27)</f>
        <v>0.0001-3.24357369614512i</v>
      </c>
      <c r="AQ27" s="105" t="str">
        <f t="shared" si="2"/>
        <v>0.000000001-0.00000000000000001i</v>
      </c>
      <c r="AR27" s="105" t="str">
        <f t="shared" ref="AR27:AR91" si="13">COMPLEX($D$23/$D$27,$D$23*AO27)</f>
        <v>0.00858412698412699+4.80711111111111i</v>
      </c>
      <c r="AS27" s="93" t="str">
        <f t="shared" si="4"/>
        <v>9999999999+9999999i</v>
      </c>
      <c r="AU27" s="87" t="str">
        <f t="shared" si="1"/>
        <v>0.00858412798412699+4.80711111111111i</v>
      </c>
      <c r="AV27" s="87" t="str">
        <f t="shared" si="5"/>
        <v>37770173.5286858+48071196947.5752i</v>
      </c>
      <c r="AW27" s="87" t="str">
        <f t="shared" si="6"/>
        <v>9999999999.00858+10000003.8071111i</v>
      </c>
      <c r="AX27" s="87" t="str">
        <f t="shared" si="7"/>
        <v>0.00858413029494078+4.80711111110054i</v>
      </c>
      <c r="AY27" s="87" t="str">
        <f t="shared" si="8"/>
        <v>0.00868413029494078+1.56353741495542i</v>
      </c>
      <c r="AZ27" s="87">
        <f t="shared" si="9"/>
        <v>5.6000000000000023</v>
      </c>
      <c r="BA27" s="87">
        <f t="shared" si="10"/>
        <v>1.5635615312754585</v>
      </c>
    </row>
    <row r="28" spans="2:53" x14ac:dyDescent="0.25">
      <c r="B28" s="91"/>
      <c r="AO28" s="87">
        <f t="shared" si="11"/>
        <v>5.8000000000000025</v>
      </c>
      <c r="AP28" s="126" t="str">
        <f t="shared" si="12"/>
        <v>0.0001-3.13172632731253i</v>
      </c>
      <c r="AQ28" s="105" t="str">
        <f t="shared" si="2"/>
        <v>0.000000001-0.00000000000000001i</v>
      </c>
      <c r="AR28" s="105" t="str">
        <f t="shared" si="13"/>
        <v>0.00858412698412699+4.97879365079365i</v>
      </c>
      <c r="AS28" s="93" t="str">
        <f t="shared" si="4"/>
        <v>9999999999+9999999i</v>
      </c>
      <c r="AU28" s="87" t="str">
        <f t="shared" si="1"/>
        <v>0.00858412798412699+4.97879365079365i</v>
      </c>
      <c r="AV28" s="87" t="str">
        <f t="shared" si="5"/>
        <v>36053348.3035429+49788022344.229i</v>
      </c>
      <c r="AW28" s="87" t="str">
        <f t="shared" si="6"/>
        <v>9999999999.00858+10000003.9787937i</v>
      </c>
      <c r="AX28" s="87" t="str">
        <f t="shared" si="7"/>
        <v>0.00858413046294725+4.97879365078263i</v>
      </c>
      <c r="AY28" s="87" t="str">
        <f t="shared" si="8"/>
        <v>0.00868413046294725+1.8470673234701i</v>
      </c>
      <c r="AZ28" s="87">
        <f t="shared" si="9"/>
        <v>5.8000000000000025</v>
      </c>
      <c r="BA28" s="87">
        <f t="shared" si="10"/>
        <v>1.8470877379141728</v>
      </c>
    </row>
    <row r="29" spans="2:53" ht="21" x14ac:dyDescent="0.35">
      <c r="B29" s="286" t="s">
        <v>153</v>
      </c>
      <c r="C29" s="286"/>
      <c r="D29" s="286"/>
      <c r="E29" s="286"/>
      <c r="F29" s="286"/>
      <c r="G29" s="286"/>
      <c r="H29" s="286"/>
      <c r="I29" s="286"/>
      <c r="J29" s="286"/>
      <c r="K29" s="286"/>
      <c r="L29" s="286"/>
      <c r="AO29" s="87">
        <f t="shared" si="11"/>
        <v>6.0000000000000027</v>
      </c>
      <c r="AP29" s="126" t="str">
        <f t="shared" si="12"/>
        <v>0.0001-3.02733544973545i</v>
      </c>
      <c r="AQ29" s="105" t="str">
        <f t="shared" si="2"/>
        <v>0.000000001-0.00000000000000001i</v>
      </c>
      <c r="AR29" s="105" t="str">
        <f t="shared" si="13"/>
        <v>0.00858412698412699+5.1504761904762i</v>
      </c>
      <c r="AS29" s="93" t="str">
        <f t="shared" si="4"/>
        <v>9999999999+9999999i</v>
      </c>
      <c r="AU29" s="87" t="str">
        <f t="shared" si="1"/>
        <v>0.00858412798412699+5.1504761904762i</v>
      </c>
      <c r="AV29" s="87" t="str">
        <f t="shared" si="5"/>
        <v>34336523.0784+51504847740.8828i</v>
      </c>
      <c r="AW29" s="87" t="str">
        <f t="shared" si="6"/>
        <v>9999999999.00858+10000004.1504762i</v>
      </c>
      <c r="AX29" s="87" t="str">
        <f t="shared" si="7"/>
        <v>0.00858413063684864+5.15047619046471i</v>
      </c>
      <c r="AY29" s="87" t="str">
        <f t="shared" si="8"/>
        <v>0.00868413063684864+2.12314074072926i</v>
      </c>
      <c r="AZ29" s="87">
        <f t="shared" si="9"/>
        <v>6.0000000000000027</v>
      </c>
      <c r="BA29" s="87">
        <f t="shared" si="10"/>
        <v>2.1231585006940268</v>
      </c>
    </row>
    <row r="30" spans="2:53" ht="22.5" customHeight="1" x14ac:dyDescent="0.35">
      <c r="B30" s="91" t="s">
        <v>210</v>
      </c>
      <c r="D30" s="98">
        <v>4.8</v>
      </c>
      <c r="E30" s="87" t="s">
        <v>1</v>
      </c>
      <c r="AO30" s="87">
        <f t="shared" si="11"/>
        <v>6.2000000000000028</v>
      </c>
      <c r="AP30" s="126" t="str">
        <f t="shared" si="12"/>
        <v>0.0001-2.92967946748592i</v>
      </c>
      <c r="AQ30" s="105" t="str">
        <f t="shared" si="2"/>
        <v>0.000000001-0.00000000000000001i</v>
      </c>
      <c r="AR30" s="105" t="str">
        <f t="shared" si="13"/>
        <v>0.00858412698412699+5.32215873015873i</v>
      </c>
      <c r="AS30" s="93" t="str">
        <f t="shared" si="4"/>
        <v>9999999999+9999999i</v>
      </c>
      <c r="AU30" s="87" t="str">
        <f t="shared" si="1"/>
        <v>0.00858412798412699+5.32215873015873i</v>
      </c>
      <c r="AV30" s="87" t="str">
        <f t="shared" si="5"/>
        <v>32619697.8532572+53221673137.5364i</v>
      </c>
      <c r="AW30" s="87" t="str">
        <f t="shared" si="6"/>
        <v>9999999999.00858+10000004.3221587i</v>
      </c>
      <c r="AX30" s="87" t="str">
        <f t="shared" si="7"/>
        <v>0.008584130816645+5.32215873014676i</v>
      </c>
      <c r="AY30" s="87" t="str">
        <f t="shared" si="8"/>
        <v>0.008684130816645+2.39247926266084i</v>
      </c>
      <c r="AZ30" s="87">
        <f t="shared" si="9"/>
        <v>6.2000000000000028</v>
      </c>
      <c r="BA30" s="87">
        <f t="shared" si="10"/>
        <v>2.3924950232738618</v>
      </c>
    </row>
    <row r="31" spans="2:53" ht="24.75" customHeight="1" x14ac:dyDescent="0.35">
      <c r="B31" s="91" t="s">
        <v>211</v>
      </c>
      <c r="D31" s="140">
        <f>1000*((D30/1.73)*(D30/1.73))/D20</f>
        <v>423.81709627704481</v>
      </c>
      <c r="E31" s="87" t="s">
        <v>11</v>
      </c>
      <c r="AO31" s="87">
        <f t="shared" si="11"/>
        <v>6.400000000000003</v>
      </c>
      <c r="AP31" s="126" t="str">
        <f t="shared" si="12"/>
        <v>0.0001-2.83812698412698i</v>
      </c>
      <c r="AQ31" s="105" t="str">
        <f t="shared" si="2"/>
        <v>0.000000001-0.00000000000000001i</v>
      </c>
      <c r="AR31" s="105" t="str">
        <f t="shared" si="13"/>
        <v>0.00858412698412699+5.49384126984127i</v>
      </c>
      <c r="AS31" s="93" t="str">
        <f t="shared" si="4"/>
        <v>9999999999+9999999i</v>
      </c>
      <c r="AU31" s="87" t="str">
        <f t="shared" si="1"/>
        <v>0.00858412798412699+5.49384126984127i</v>
      </c>
      <c r="AV31" s="87" t="str">
        <f t="shared" si="5"/>
        <v>30902872.6281143+54938498534.1901i</v>
      </c>
      <c r="AW31" s="87" t="str">
        <f t="shared" si="6"/>
        <v>9999999999.00858+10000004.4938413i</v>
      </c>
      <c r="AX31" s="87" t="str">
        <f t="shared" si="7"/>
        <v>0.00858413100233638+5.49384126982882i</v>
      </c>
      <c r="AY31" s="87" t="str">
        <f t="shared" si="8"/>
        <v>0.00868413100233638+2.65571428570184i</v>
      </c>
      <c r="AZ31" s="87">
        <f t="shared" si="9"/>
        <v>6.400000000000003</v>
      </c>
      <c r="BA31" s="87">
        <f t="shared" si="10"/>
        <v>2.6557284841286202</v>
      </c>
    </row>
    <row r="32" spans="2:53" ht="20.25" customHeight="1" x14ac:dyDescent="0.25">
      <c r="B32" s="99" t="s">
        <v>154</v>
      </c>
      <c r="D32" s="160">
        <v>1</v>
      </c>
      <c r="J32" s="106" t="s">
        <v>87</v>
      </c>
      <c r="K32" s="171">
        <f>(D30*D30)/D33*1000</f>
        <v>54.363073605079371</v>
      </c>
      <c r="L32" s="87" t="s">
        <v>135</v>
      </c>
      <c r="AO32" s="87">
        <f t="shared" si="11"/>
        <v>6.6000000000000032</v>
      </c>
      <c r="AP32" s="126" t="str">
        <f t="shared" si="12"/>
        <v>0.0001-2.75212313612314i</v>
      </c>
      <c r="AQ32" s="105" t="str">
        <f t="shared" si="2"/>
        <v>0.000000001-0.00000000000000001i</v>
      </c>
      <c r="AR32" s="105" t="str">
        <f t="shared" si="13"/>
        <v>0.00858412698412699+5.66552380952381i</v>
      </c>
      <c r="AS32" s="93" t="str">
        <f t="shared" si="4"/>
        <v>9999999999+9999999i</v>
      </c>
      <c r="AU32" s="87" t="str">
        <f t="shared" si="1"/>
        <v>0.00858412798412699+5.66552380952381i</v>
      </c>
      <c r="AV32" s="87" t="str">
        <f t="shared" si="5"/>
        <v>29186047.4029715+56655323930.8438i</v>
      </c>
      <c r="AW32" s="87" t="str">
        <f t="shared" si="6"/>
        <v>9999999999.00858+10000004.6655238i</v>
      </c>
      <c r="AX32" s="87" t="str">
        <f t="shared" si="7"/>
        <v>0.00858413119392269+5.66552380951087i</v>
      </c>
      <c r="AY32" s="87" t="str">
        <f t="shared" si="8"/>
        <v>0.00868413119392269+2.91340067338773i</v>
      </c>
      <c r="AZ32" s="87">
        <f t="shared" si="9"/>
        <v>6.6000000000000032</v>
      </c>
      <c r="BA32" s="87">
        <f t="shared" si="10"/>
        <v>2.9134136159890978</v>
      </c>
    </row>
    <row r="33" spans="2:53" x14ac:dyDescent="0.25">
      <c r="B33" s="91" t="s">
        <v>155</v>
      </c>
      <c r="D33" s="140">
        <f>D31/D32</f>
        <v>423.81709627704481</v>
      </c>
      <c r="E33" s="87" t="s">
        <v>11</v>
      </c>
      <c r="J33" s="106" t="s">
        <v>88</v>
      </c>
      <c r="K33" s="171">
        <f>1000*1000/(2*3.1415*$D$11*K32)</f>
        <v>48.795265659015406</v>
      </c>
      <c r="L33" s="87" t="s">
        <v>134</v>
      </c>
      <c r="AO33" s="87">
        <f t="shared" si="11"/>
        <v>6.8000000000000034</v>
      </c>
      <c r="AP33" s="126" t="str">
        <f t="shared" si="12"/>
        <v>0.0001-2.67117833800187i</v>
      </c>
      <c r="AQ33" s="105" t="str">
        <f t="shared" si="2"/>
        <v>0.000000001-0.00000000000000001i</v>
      </c>
      <c r="AR33" s="105" t="str">
        <f t="shared" si="13"/>
        <v>0.00858412698412699+5.83720634920635i</v>
      </c>
      <c r="AS33" s="93" t="str">
        <f t="shared" si="4"/>
        <v>9999999999+9999999i</v>
      </c>
      <c r="AU33" s="87" t="str">
        <f t="shared" si="1"/>
        <v>0.00858412798412699+5.83720634920635i</v>
      </c>
      <c r="AV33" s="87" t="str">
        <f t="shared" si="5"/>
        <v>27469222.1778286+58372149327.4976i</v>
      </c>
      <c r="AW33" s="87" t="str">
        <f t="shared" si="6"/>
        <v>9999999999.00858+10000004.8372063i</v>
      </c>
      <c r="AX33" s="87" t="str">
        <f t="shared" si="7"/>
        <v>0.00858413139140397+5.83720634919293i</v>
      </c>
      <c r="AY33" s="87" t="str">
        <f t="shared" si="8"/>
        <v>0.00868413139140397+3.16602801119106i</v>
      </c>
      <c r="AZ33" s="87">
        <f t="shared" si="9"/>
        <v>6.8000000000000034</v>
      </c>
      <c r="BA33" s="87">
        <f t="shared" si="10"/>
        <v>3.1660399210661319</v>
      </c>
    </row>
    <row r="34" spans="2:53" ht="39.75" customHeight="1" x14ac:dyDescent="0.25">
      <c r="B34" s="125" t="s">
        <v>157</v>
      </c>
      <c r="D34" s="145">
        <f>D17/(D32)</f>
        <v>80.230102267674525</v>
      </c>
      <c r="E34" s="101" t="s">
        <v>12</v>
      </c>
      <c r="AO34" s="87">
        <f t="shared" si="11"/>
        <v>7.0000000000000036</v>
      </c>
      <c r="AP34" s="126" t="str">
        <f t="shared" si="12"/>
        <v>0.0001-2.5948589569161i</v>
      </c>
      <c r="AQ34" s="105" t="str">
        <f t="shared" si="2"/>
        <v>0.000000001-0.00000000000000001i</v>
      </c>
      <c r="AR34" s="105" t="str">
        <f t="shared" si="13"/>
        <v>0.00858412698412699+6.00888888888889i</v>
      </c>
      <c r="AS34" s="93" t="str">
        <f t="shared" si="4"/>
        <v>9999999999+9999999i</v>
      </c>
      <c r="AU34" s="87" t="str">
        <f t="shared" si="1"/>
        <v>0.00858412798412699+6.00888888888889i</v>
      </c>
      <c r="AV34" s="87" t="str">
        <f t="shared" si="5"/>
        <v>25752396.9526858+60088974724.1513i</v>
      </c>
      <c r="AW34" s="87" t="str">
        <f t="shared" si="6"/>
        <v>9999999999.00858+10000005.0088889i</v>
      </c>
      <c r="AX34" s="87" t="str">
        <f t="shared" si="7"/>
        <v>0.00858413159478028+6.00888888887497i</v>
      </c>
      <c r="AY34" s="87" t="str">
        <f t="shared" si="8"/>
        <v>0.00868413159478028+3.41402993195887i</v>
      </c>
      <c r="AZ34" s="87">
        <f t="shared" si="9"/>
        <v>7.0000000000000036</v>
      </c>
      <c r="BA34" s="87">
        <f t="shared" si="10"/>
        <v>3.4140409766803677</v>
      </c>
    </row>
    <row r="35" spans="2:53" ht="33" x14ac:dyDescent="0.25">
      <c r="B35" s="125" t="s">
        <v>159</v>
      </c>
      <c r="D35" s="144">
        <f>1.8*D34</f>
        <v>144.41418408181414</v>
      </c>
      <c r="E35" s="101" t="s">
        <v>12</v>
      </c>
      <c r="AO35" s="87">
        <f t="shared" si="11"/>
        <v>7.2000000000000037</v>
      </c>
      <c r="AP35" s="126" t="str">
        <f t="shared" si="12"/>
        <v>0.0001-2.52277954144621i</v>
      </c>
      <c r="AQ35" s="105" t="str">
        <f t="shared" si="2"/>
        <v>0.000000001-0.00000000000000001i</v>
      </c>
      <c r="AR35" s="105" t="str">
        <f t="shared" si="13"/>
        <v>0.00858412698412699+6.18057142857143i</v>
      </c>
      <c r="AS35" s="93" t="str">
        <f t="shared" si="4"/>
        <v>9999999999+9999999i</v>
      </c>
      <c r="AU35" s="87" t="str">
        <f t="shared" si="1"/>
        <v>0.00858412798412699+6.18057142857143i</v>
      </c>
      <c r="AV35" s="87" t="str">
        <f t="shared" si="5"/>
        <v>24035571.7275429+61805800120.805i</v>
      </c>
      <c r="AW35" s="87" t="str">
        <f t="shared" si="6"/>
        <v>9999999999.00858+10000005.1805714i</v>
      </c>
      <c r="AX35" s="87" t="str">
        <f t="shared" si="7"/>
        <v>0.0085841318040515+6.180571428557i</v>
      </c>
      <c r="AY35" s="87" t="str">
        <f t="shared" si="8"/>
        <v>0.0086841318040515+3.65779188711079i</v>
      </c>
      <c r="AZ35" s="87">
        <f t="shared" si="9"/>
        <v>7.2000000000000037</v>
      </c>
      <c r="BA35" s="87">
        <f t="shared" si="10"/>
        <v>3.6578021957944511</v>
      </c>
    </row>
    <row r="36" spans="2:53" ht="26.25" customHeight="1" x14ac:dyDescent="0.25">
      <c r="B36" s="122" t="s">
        <v>30</v>
      </c>
      <c r="D36" s="145">
        <f>D17*D21/1000</f>
        <v>4.3719017891549692</v>
      </c>
      <c r="E36" s="101" t="s">
        <v>1</v>
      </c>
      <c r="F36" s="100" t="s">
        <v>0</v>
      </c>
      <c r="AO36" s="87">
        <f t="shared" si="11"/>
        <v>7.4000000000000039</v>
      </c>
      <c r="AP36" s="126" t="str">
        <f t="shared" si="12"/>
        <v>0.0001-2.45459631059631i</v>
      </c>
      <c r="AQ36" s="105" t="str">
        <f t="shared" si="2"/>
        <v>0.000000001-0.00000000000000001i</v>
      </c>
      <c r="AR36" s="105" t="str">
        <f t="shared" si="13"/>
        <v>0.00858412698412699+6.35225396825397i</v>
      </c>
      <c r="AS36" s="93" t="str">
        <f t="shared" si="4"/>
        <v>9999999999+9999999i</v>
      </c>
      <c r="AU36" s="87" t="str">
        <f t="shared" si="1"/>
        <v>0.00858412798412699+6.35225396825397i</v>
      </c>
      <c r="AV36" s="87" t="str">
        <f t="shared" si="5"/>
        <v>22318746.5024+63522625517.4587i</v>
      </c>
      <c r="AW36" s="87" t="str">
        <f t="shared" si="6"/>
        <v>9999999999.00858+10000005.352254i</v>
      </c>
      <c r="AX36" s="87" t="str">
        <f t="shared" si="7"/>
        <v>0.00858413201921775+6.35225396823903i</v>
      </c>
      <c r="AY36" s="87" t="str">
        <f t="shared" si="8"/>
        <v>0.00868413201921775+3.89765765764272i</v>
      </c>
      <c r="AZ36" s="87">
        <f t="shared" si="9"/>
        <v>7.4000000000000039</v>
      </c>
      <c r="BA36" s="87">
        <f t="shared" si="10"/>
        <v>3.8976673319217303</v>
      </c>
    </row>
    <row r="37" spans="2:53" ht="33" customHeight="1" x14ac:dyDescent="0.25">
      <c r="B37" s="122" t="s">
        <v>34</v>
      </c>
      <c r="D37" s="145">
        <f>SQRT(SUM(T79:AA79)+SUM(T85:AA85))/1000</f>
        <v>4.3773632551059158</v>
      </c>
      <c r="E37" s="101" t="s">
        <v>1</v>
      </c>
      <c r="AO37" s="87">
        <f t="shared" si="11"/>
        <v>7.6000000000000041</v>
      </c>
      <c r="AP37" s="126" t="str">
        <f t="shared" si="12"/>
        <v>0.0001-2.39000167084378i</v>
      </c>
      <c r="AQ37" s="105" t="str">
        <f t="shared" si="2"/>
        <v>0.000000001-0.00000000000000001i</v>
      </c>
      <c r="AR37" s="105" t="str">
        <f t="shared" si="13"/>
        <v>0.00858412698412699+6.52393650793651i</v>
      </c>
      <c r="AS37" s="93" t="str">
        <f t="shared" si="4"/>
        <v>9999999999+9999999i</v>
      </c>
      <c r="AU37" s="87" t="str">
        <f t="shared" si="1"/>
        <v>0.00858412798412699+6.52393650793651i</v>
      </c>
      <c r="AV37" s="87" t="str">
        <f t="shared" si="5"/>
        <v>20601921.2772572+65239450914.1124i</v>
      </c>
      <c r="AW37" s="87" t="str">
        <f t="shared" si="6"/>
        <v>9999999999.00858+10000005.5239365i</v>
      </c>
      <c r="AX37" s="87" t="str">
        <f t="shared" si="7"/>
        <v>0.00858413224027892+6.52393650792105i</v>
      </c>
      <c r="AY37" s="87" t="str">
        <f t="shared" si="8"/>
        <v>0.00868413224027892+4.13393483707727i</v>
      </c>
      <c r="AZ37" s="87">
        <f t="shared" si="9"/>
        <v>7.6000000000000041</v>
      </c>
      <c r="BA37" s="87">
        <f t="shared" si="10"/>
        <v>4.1339439584195921</v>
      </c>
    </row>
    <row r="38" spans="2:53" ht="30" customHeight="1" x14ac:dyDescent="0.25">
      <c r="B38" s="122" t="s">
        <v>35</v>
      </c>
      <c r="D38" s="145">
        <f>1.414*(SUM(D74:K74)+SUM(D80:K80))/1000</f>
        <v>6.4909625863583802</v>
      </c>
      <c r="E38" s="101" t="s">
        <v>1</v>
      </c>
      <c r="AO38" s="87">
        <f t="shared" si="11"/>
        <v>7.8000000000000043</v>
      </c>
      <c r="AP38" s="126" t="str">
        <f t="shared" si="12"/>
        <v>0.0001-2.32871957671958i</v>
      </c>
      <c r="AQ38" s="105" t="str">
        <f t="shared" si="2"/>
        <v>0.000000001-0.00000000000000001i</v>
      </c>
      <c r="AR38" s="105" t="str">
        <f t="shared" si="13"/>
        <v>0.00858412698412699+6.69561904761905i</v>
      </c>
      <c r="AS38" s="93" t="str">
        <f t="shared" si="4"/>
        <v>9999999999+9999999i</v>
      </c>
      <c r="AU38" s="87" t="str">
        <f t="shared" si="1"/>
        <v>0.00858412798412699+6.69561904761905i</v>
      </c>
      <c r="AV38" s="87" t="str">
        <f t="shared" si="5"/>
        <v>18885096.0521143+66956276310.7661i</v>
      </c>
      <c r="AW38" s="87" t="str">
        <f t="shared" si="6"/>
        <v>9999999999.00858+10000005.695619i</v>
      </c>
      <c r="AX38" s="87" t="str">
        <f t="shared" si="7"/>
        <v>0.00858413246723506+6.69561904760307i</v>
      </c>
      <c r="AY38" s="87" t="str">
        <f t="shared" si="8"/>
        <v>0.00868413246723506+4.36689947088349i</v>
      </c>
      <c r="AZ38" s="87">
        <f t="shared" si="9"/>
        <v>7.8000000000000043</v>
      </c>
      <c r="BA38" s="87">
        <f t="shared" si="10"/>
        <v>4.3669081056233834</v>
      </c>
    </row>
    <row r="39" spans="2:53" ht="29.25" customHeight="1" x14ac:dyDescent="0.25">
      <c r="B39" s="122" t="s">
        <v>52</v>
      </c>
      <c r="D39" s="145">
        <f>0.5774*SQRT(SUM(T80:AA80,T86:AA86))/D32</f>
        <v>82.699296500932249</v>
      </c>
      <c r="E39" s="101" t="s">
        <v>12</v>
      </c>
      <c r="AO39" s="87">
        <f t="shared" si="11"/>
        <v>8.0000000000000036</v>
      </c>
      <c r="AP39" s="126" t="str">
        <f t="shared" si="12"/>
        <v>0.0001-2.27050158730159i</v>
      </c>
      <c r="AQ39" s="105" t="str">
        <f t="shared" si="2"/>
        <v>0.000000001-0.00000000000000001i</v>
      </c>
      <c r="AR39" s="105" t="str">
        <f t="shared" si="13"/>
        <v>0.00858412698412699+6.86730158730159i</v>
      </c>
      <c r="AS39" s="93" t="str">
        <f t="shared" si="4"/>
        <v>9999999999+9999999i</v>
      </c>
      <c r="AU39" s="87" t="str">
        <f t="shared" si="1"/>
        <v>0.00858412798412699+6.86730158730159i</v>
      </c>
      <c r="AV39" s="87" t="str">
        <f t="shared" si="5"/>
        <v>17168270.8269715+68673101707.4199i</v>
      </c>
      <c r="AW39" s="87" t="str">
        <f t="shared" si="6"/>
        <v>9999999999.00858+10000005.8673016i</v>
      </c>
      <c r="AX39" s="87" t="str">
        <f t="shared" si="7"/>
        <v>0.00858413270008625+6.86730158728509i</v>
      </c>
      <c r="AY39" s="87" t="str">
        <f t="shared" si="8"/>
        <v>0.00868413270008625+4.5967999999835i</v>
      </c>
      <c r="AZ39" s="87">
        <f t="shared" si="9"/>
        <v>8.0000000000000036</v>
      </c>
      <c r="BA39" s="87">
        <f t="shared" si="10"/>
        <v>4.5968082028739303</v>
      </c>
    </row>
    <row r="40" spans="2:53" ht="32.25" customHeight="1" x14ac:dyDescent="0.25">
      <c r="B40" s="82" t="s">
        <v>212</v>
      </c>
      <c r="D40" s="146">
        <f>1*(SUM(T81:AA81)+SUM(T87:AA87))</f>
        <v>355.0814308148332</v>
      </c>
      <c r="E40" s="101" t="s">
        <v>11</v>
      </c>
      <c r="AO40" s="87">
        <f t="shared" si="11"/>
        <v>8.2000000000000028</v>
      </c>
      <c r="AP40" s="126" t="str">
        <f t="shared" si="12"/>
        <v>0.0001-2.21512349980643i</v>
      </c>
      <c r="AQ40" s="105" t="str">
        <f t="shared" si="2"/>
        <v>0.000000001-0.00000000000000001i</v>
      </c>
      <c r="AR40" s="105" t="str">
        <f t="shared" si="13"/>
        <v>0.00858412698412699+7.03898412698413i</v>
      </c>
      <c r="AS40" s="93" t="str">
        <f t="shared" si="4"/>
        <v>9999999999+9999999i</v>
      </c>
      <c r="AU40" s="87" t="str">
        <f t="shared" si="1"/>
        <v>0.00858412798412699+7.03898412698413i</v>
      </c>
      <c r="AV40" s="87" t="str">
        <f t="shared" si="5"/>
        <v>15451445.6018286+70389927104.0736i</v>
      </c>
      <c r="AW40" s="87" t="str">
        <f t="shared" si="6"/>
        <v>9999999999.00858+10000006.0389841i</v>
      </c>
      <c r="AX40" s="87" t="str">
        <f t="shared" si="7"/>
        <v>0.00858413293883233+7.0389841269671i</v>
      </c>
      <c r="AY40" s="87" t="str">
        <f t="shared" si="8"/>
        <v>0.00868413293883233+4.82386062716067i</v>
      </c>
      <c r="AZ40" s="87">
        <f t="shared" si="9"/>
        <v>8.2000000000000028</v>
      </c>
      <c r="BA40" s="87">
        <f t="shared" si="10"/>
        <v>4.8238684439395554</v>
      </c>
    </row>
    <row r="41" spans="2:53" ht="27" customHeight="1" x14ac:dyDescent="0.25">
      <c r="AO41" s="87">
        <f t="shared" si="11"/>
        <v>8.4000000000000021</v>
      </c>
      <c r="AP41" s="126" t="str">
        <f t="shared" si="12"/>
        <v>0.0001-2.16238246409675i</v>
      </c>
      <c r="AQ41" s="105" t="str">
        <f t="shared" si="2"/>
        <v>0.000000001-0.00000000000000001i</v>
      </c>
      <c r="AR41" s="105" t="str">
        <f t="shared" si="13"/>
        <v>0.00858412698412699+7.21066666666667i</v>
      </c>
      <c r="AS41" s="93" t="str">
        <f t="shared" si="4"/>
        <v>9999999999+9999999i</v>
      </c>
      <c r="AU41" s="87" t="str">
        <f t="shared" si="1"/>
        <v>0.00858412798412699+7.21066666666667i</v>
      </c>
      <c r="AV41" s="87" t="str">
        <f t="shared" si="5"/>
        <v>13734620.3766857+72106752500.7273i</v>
      </c>
      <c r="AW41" s="87" t="str">
        <f t="shared" si="6"/>
        <v>9999999999.00858+10000006.2106667i</v>
      </c>
      <c r="AX41" s="87" t="str">
        <f t="shared" si="7"/>
        <v>0.00858413318347345+7.21066666664909i</v>
      </c>
      <c r="AY41" s="87" t="str">
        <f t="shared" si="8"/>
        <v>0.00868413318347345+5.04828420255234i</v>
      </c>
      <c r="AZ41" s="87">
        <f t="shared" si="9"/>
        <v>8.4000000000000021</v>
      </c>
      <c r="BA41" s="87">
        <f t="shared" si="10"/>
        <v>5.0482916718340141</v>
      </c>
    </row>
    <row r="42" spans="2:53" ht="21" x14ac:dyDescent="0.35">
      <c r="B42" s="117" t="s">
        <v>162</v>
      </c>
      <c r="C42" s="115"/>
      <c r="D42" s="222"/>
      <c r="E42" s="222"/>
      <c r="F42" s="222"/>
      <c r="G42" s="222"/>
      <c r="H42" s="222"/>
      <c r="I42" s="222"/>
      <c r="J42" s="96"/>
      <c r="K42" s="96"/>
      <c r="L42" s="96"/>
      <c r="AO42" s="87">
        <f t="shared" si="11"/>
        <v>8.6000000000000014</v>
      </c>
      <c r="AP42" s="126" t="str">
        <f t="shared" si="12"/>
        <v>0.0001-2.11209449981543i</v>
      </c>
      <c r="AQ42" s="105" t="str">
        <f t="shared" si="2"/>
        <v>0.000000001-0.00000000000000001i</v>
      </c>
      <c r="AR42" s="105" t="str">
        <f t="shared" si="13"/>
        <v>0.00858412698412699+7.38234920634921i</v>
      </c>
      <c r="AS42" s="93" t="str">
        <f t="shared" si="4"/>
        <v>9999999999+9999999i</v>
      </c>
      <c r="AU42" s="87" t="str">
        <f t="shared" si="1"/>
        <v>0.00858412798412699+7.38234920634921i</v>
      </c>
      <c r="AV42" s="87" t="str">
        <f t="shared" si="5"/>
        <v>12017795.1515429+73823577897.381i</v>
      </c>
      <c r="AW42" s="87" t="str">
        <f t="shared" si="6"/>
        <v>9999999999.00858+10000006.3823492i</v>
      </c>
      <c r="AX42" s="87" t="str">
        <f t="shared" si="7"/>
        <v>0.00858413343400948+7.38234920633109i</v>
      </c>
      <c r="AY42" s="87" t="str">
        <f t="shared" si="8"/>
        <v>0.00868413343400948+5.27025470651566i</v>
      </c>
      <c r="AZ42" s="87">
        <f t="shared" si="9"/>
        <v>8.6000000000000014</v>
      </c>
      <c r="BA42" s="87">
        <f t="shared" si="10"/>
        <v>5.2702618612099306</v>
      </c>
    </row>
    <row r="43" spans="2:53" x14ac:dyDescent="0.25">
      <c r="B43" s="221" t="s">
        <v>267</v>
      </c>
      <c r="C43" s="116"/>
      <c r="D43" s="296" t="s">
        <v>269</v>
      </c>
      <c r="E43" s="296"/>
      <c r="F43" s="296"/>
      <c r="G43" s="296"/>
      <c r="H43" s="296"/>
      <c r="I43" s="296"/>
      <c r="J43" s="97"/>
      <c r="K43" s="97"/>
      <c r="L43" s="97"/>
      <c r="AO43" s="87">
        <f t="shared" si="11"/>
        <v>8.8000000000000007</v>
      </c>
      <c r="AP43" s="126" t="str">
        <f t="shared" si="12"/>
        <v>0.0001-2.06409235209235i</v>
      </c>
      <c r="AQ43" s="105" t="str">
        <f t="shared" si="2"/>
        <v>0.000000001-0.00000000000000001i</v>
      </c>
      <c r="AR43" s="105" t="str">
        <f t="shared" si="13"/>
        <v>0.00858412698412699+7.55403174603175i</v>
      </c>
      <c r="AS43" s="93" t="str">
        <f t="shared" si="4"/>
        <v>9999999999+9999999i</v>
      </c>
      <c r="AU43" s="87" t="str">
        <f t="shared" si="1"/>
        <v>0.00858412798412699+7.55403174603175i</v>
      </c>
      <c r="AV43" s="87" t="str">
        <f t="shared" si="5"/>
        <v>10300969.9264+75540403294.0347i</v>
      </c>
      <c r="AW43" s="87" t="str">
        <f t="shared" si="6"/>
        <v>9999999999.00858+10000006.5540317i</v>
      </c>
      <c r="AX43" s="87" t="str">
        <f t="shared" si="7"/>
        <v>0.00858413369044048+7.55403174601307i</v>
      </c>
      <c r="AY43" s="87" t="str">
        <f t="shared" si="8"/>
        <v>0.00868413369044048+5.48993939392072i</v>
      </c>
      <c r="AZ43" s="87">
        <f t="shared" si="9"/>
        <v>8.8000000000000007</v>
      </c>
      <c r="BA43" s="87">
        <f t="shared" si="10"/>
        <v>5.4899462623144633</v>
      </c>
    </row>
    <row r="44" spans="2:53" x14ac:dyDescent="0.25">
      <c r="B44" s="221"/>
      <c r="C44" s="116"/>
      <c r="D44" s="297" t="s">
        <v>276</v>
      </c>
      <c r="E44" s="297"/>
      <c r="F44" s="297"/>
      <c r="G44" s="240"/>
      <c r="H44" s="240"/>
      <c r="I44" s="329" t="s">
        <v>276</v>
      </c>
      <c r="J44" s="329"/>
      <c r="K44" s="329"/>
      <c r="L44" s="329"/>
      <c r="AP44" s="126"/>
      <c r="AQ44" s="105"/>
      <c r="AR44" s="105"/>
      <c r="AS44" s="93"/>
    </row>
    <row r="45" spans="2:53" ht="42.75" customHeight="1" x14ac:dyDescent="0.25">
      <c r="B45" s="110"/>
      <c r="C45" s="110"/>
      <c r="D45" s="234" t="s">
        <v>280</v>
      </c>
      <c r="E45" s="233" t="s">
        <v>283</v>
      </c>
      <c r="F45" s="235" t="s">
        <v>282</v>
      </c>
      <c r="G45" s="97"/>
      <c r="I45" s="234" t="s">
        <v>280</v>
      </c>
      <c r="J45" s="327" t="s">
        <v>284</v>
      </c>
      <c r="K45" s="327"/>
      <c r="L45" s="235" t="s">
        <v>282</v>
      </c>
      <c r="O45" s="143"/>
      <c r="AN45" s="154">
        <f>D30</f>
        <v>4.8</v>
      </c>
      <c r="AO45" s="87">
        <f>AO43+0.2</f>
        <v>9</v>
      </c>
      <c r="AP45" s="126" t="str">
        <f t="shared" si="12"/>
        <v>0.0001-2.01822363315697i</v>
      </c>
      <c r="AQ45" s="105" t="str">
        <f t="shared" si="2"/>
        <v>0.000000001-0.00000000000000001i</v>
      </c>
      <c r="AR45" s="105" t="str">
        <f t="shared" si="13"/>
        <v>0.00858412698412699+7.72571428571429i</v>
      </c>
      <c r="AS45" s="93" t="str">
        <f t="shared" si="4"/>
        <v>9999999999+9999999i</v>
      </c>
      <c r="AU45" s="87" t="str">
        <f t="shared" si="1"/>
        <v>0.00858412798412699+7.72571428571429i</v>
      </c>
      <c r="AV45" s="87" t="str">
        <f t="shared" si="5"/>
        <v>8584144.70125715+77257228690.6884i</v>
      </c>
      <c r="AW45" s="87" t="str">
        <f t="shared" si="6"/>
        <v>9999999999.00858+10000006.7257143i</v>
      </c>
      <c r="AX45" s="87" t="str">
        <f t="shared" si="7"/>
        <v>0.00858413395276652+7.72571428569506i</v>
      </c>
      <c r="AY45" s="87" t="str">
        <f t="shared" si="8"/>
        <v>0.00868413395276652+5.70749065253809i</v>
      </c>
      <c r="AZ45" s="87">
        <f t="shared" si="9"/>
        <v>9</v>
      </c>
      <c r="BA45" s="87">
        <f t="shared" si="10"/>
        <v>5.7074972591313768</v>
      </c>
    </row>
    <row r="46" spans="2:53" x14ac:dyDescent="0.25">
      <c r="B46" s="113" t="s">
        <v>91</v>
      </c>
      <c r="C46" s="110"/>
      <c r="D46" s="114">
        <f>D37/(AN45)</f>
        <v>0.91195067814706587</v>
      </c>
      <c r="E46" s="230">
        <f>SQRT(SUM(T79*1.1*1.1,U79:AA79)+SUM(T85:AA85))/1000/(AN45)</f>
        <v>1.0029286405793771</v>
      </c>
      <c r="F46" s="111">
        <f>IF(LEFT(D43,2)="SD",1.1,1.25)</f>
        <v>1.25</v>
      </c>
      <c r="H46" s="113" t="str">
        <f>"% "&amp;$D$11&amp;"HZ AMPS:"</f>
        <v>% 60HZ AMPS:</v>
      </c>
      <c r="I46" s="112">
        <f>D39/AN47</f>
        <v>0.93662248807676307</v>
      </c>
      <c r="J46" s="294">
        <f>0.5774*SQRT(SUM(T80*1.1*1.1,U80:AA80,T86:AA86))/D32/AN47</f>
        <v>1.0250121350812138</v>
      </c>
      <c r="K46" s="294"/>
      <c r="L46" s="111">
        <v>1.35</v>
      </c>
      <c r="O46" s="143"/>
      <c r="AN46" s="154">
        <f>1.414*D30</f>
        <v>6.7871999999999995</v>
      </c>
      <c r="AO46" s="87">
        <f t="shared" si="11"/>
        <v>9.1999999999999993</v>
      </c>
      <c r="AP46" s="126" t="str">
        <f t="shared" si="12"/>
        <v>0.0001-1.97434920634921i</v>
      </c>
      <c r="AQ46" s="105" t="str">
        <f t="shared" si="2"/>
        <v>0.000000001-0.00000000000000001i</v>
      </c>
      <c r="AR46" s="105" t="str">
        <f t="shared" si="13"/>
        <v>0.00858412698412699+7.89739682539683i</v>
      </c>
      <c r="AS46" s="93" t="str">
        <f t="shared" si="4"/>
        <v>9999999999+9999999i</v>
      </c>
      <c r="AU46" s="87" t="str">
        <f t="shared" si="1"/>
        <v>0.00858412798412699+7.89739682539683i</v>
      </c>
      <c r="AV46" s="87" t="str">
        <f t="shared" si="5"/>
        <v>6867319.4761143+78974054087.3421i</v>
      </c>
      <c r="AW46" s="87" t="str">
        <f t="shared" si="6"/>
        <v>9999999999.00858+10000006.8973968i</v>
      </c>
      <c r="AX46" s="87" t="str">
        <f t="shared" si="7"/>
        <v>0.00858413422098747+7.89739682537703i</v>
      </c>
      <c r="AY46" s="87" t="str">
        <f t="shared" si="8"/>
        <v>0.00868413422098747+5.92304761902782i</v>
      </c>
      <c r="AZ46" s="87">
        <f t="shared" si="9"/>
        <v>9.1999999999999993</v>
      </c>
      <c r="BA46" s="87">
        <f t="shared" si="10"/>
        <v>5.9230539851885773</v>
      </c>
    </row>
    <row r="47" spans="2:53" x14ac:dyDescent="0.25">
      <c r="B47" s="129" t="s">
        <v>92</v>
      </c>
      <c r="C47" s="130"/>
      <c r="D47" s="131">
        <f>D38/(AN46)</f>
        <v>0.9563535163776492</v>
      </c>
      <c r="E47" s="231">
        <f>D47+0.1</f>
        <v>1.0563535163776492</v>
      </c>
      <c r="F47" s="132">
        <f>IF(LEFT(D43,2)="SD",1.2,1.35)</f>
        <v>1.35</v>
      </c>
      <c r="G47" s="96"/>
      <c r="H47" s="133" t="str">
        <f>"% "&amp;$D$11&amp;"HZ KVAR:"</f>
        <v>% 60HZ KVAR:</v>
      </c>
      <c r="I47" s="134">
        <f>(SUM(T81:AA81)+SUM(T87:AA87))/AN48</f>
        <v>0.83781761975623603</v>
      </c>
      <c r="J47" s="303">
        <f>(SUM(T81*1.1*1.1,U81:AA81)+SUM(T87:AA87))/AN48</f>
        <v>1.011587200150122</v>
      </c>
      <c r="K47" s="303"/>
      <c r="L47" s="132">
        <v>1.35</v>
      </c>
      <c r="O47" s="143"/>
      <c r="AN47" s="154">
        <f>D33/D30</f>
        <v>88.295228391051012</v>
      </c>
      <c r="AO47" s="87">
        <f t="shared" si="11"/>
        <v>9.3999999999999986</v>
      </c>
      <c r="AP47" s="126" t="str">
        <f t="shared" si="12"/>
        <v>0.0001-1.93234177642688i</v>
      </c>
      <c r="AQ47" s="105" t="str">
        <f t="shared" si="2"/>
        <v>0.000000001-0.00000000000000001i</v>
      </c>
      <c r="AR47" s="105" t="str">
        <f t="shared" si="13"/>
        <v>0.00858412698412699+8.06907936507937i</v>
      </c>
      <c r="AS47" s="93" t="str">
        <f t="shared" si="4"/>
        <v>9999999999+9999999i</v>
      </c>
      <c r="AU47" s="87" t="str">
        <f t="shared" si="1"/>
        <v>0.00858412798412699+8.06907936507937i</v>
      </c>
      <c r="AV47" s="87" t="str">
        <f t="shared" si="5"/>
        <v>5150494.25097144+80690879483.9959i</v>
      </c>
      <c r="AW47" s="87" t="str">
        <f t="shared" si="6"/>
        <v>9999999999.00858+10000007.0690794i</v>
      </c>
      <c r="AX47" s="87" t="str">
        <f t="shared" si="7"/>
        <v>0.00858413449510347+8.06907936505901i</v>
      </c>
      <c r="AY47" s="87" t="str">
        <f t="shared" si="8"/>
        <v>0.00868413449510347+6.13673758863213i</v>
      </c>
      <c r="AZ47" s="87">
        <f t="shared" si="9"/>
        <v>9.3999999999999986</v>
      </c>
      <c r="BA47" s="87">
        <f t="shared" si="10"/>
        <v>6.1367437331146899</v>
      </c>
    </row>
    <row r="48" spans="2:53" x14ac:dyDescent="0.25">
      <c r="C48" s="110"/>
      <c r="O48" s="143"/>
      <c r="AN48" s="155">
        <f>D33*D32</f>
        <v>423.81709627704481</v>
      </c>
      <c r="AO48" s="87">
        <f t="shared" si="11"/>
        <v>9.5999999999999979</v>
      </c>
      <c r="AP48" s="126" t="str">
        <f t="shared" si="12"/>
        <v>0.0001-1.89208465608466i</v>
      </c>
      <c r="AQ48" s="105" t="str">
        <f t="shared" si="2"/>
        <v>0.000000001-0.00000000000000001i</v>
      </c>
      <c r="AR48" s="105" t="str">
        <f t="shared" si="13"/>
        <v>0.00858412698412699+8.24076190476191i</v>
      </c>
      <c r="AS48" s="93" t="str">
        <f t="shared" si="4"/>
        <v>9999999999+9999999i</v>
      </c>
      <c r="AU48" s="87" t="str">
        <f t="shared" si="1"/>
        <v>0.00858412798412699+8.24076190476191i</v>
      </c>
      <c r="AV48" s="87" t="str">
        <f t="shared" si="5"/>
        <v>3433669.02582857+82407704880.6496i</v>
      </c>
      <c r="AW48" s="87" t="str">
        <f t="shared" si="6"/>
        <v>9999999999.00858+10000007.2407619i</v>
      </c>
      <c r="AX48" s="87" t="str">
        <f t="shared" si="7"/>
        <v>0.00858413477511436+8.24076190474098i</v>
      </c>
      <c r="AY48" s="87" t="str">
        <f t="shared" si="8"/>
        <v>0.00868413477511436+6.34867724865632i</v>
      </c>
      <c r="AZ48" s="87">
        <f t="shared" si="9"/>
        <v>9.5999999999999979</v>
      </c>
      <c r="BA48" s="87">
        <f t="shared" si="10"/>
        <v>6.3486831880164862</v>
      </c>
    </row>
    <row r="49" spans="2:53" x14ac:dyDescent="0.25">
      <c r="C49" s="110"/>
      <c r="N49" s="155"/>
      <c r="O49" s="143"/>
      <c r="AO49" s="87">
        <f t="shared" si="11"/>
        <v>9.7999999999999972</v>
      </c>
      <c r="AP49" s="126" t="str">
        <f t="shared" si="12"/>
        <v>0.0001-1.8534706835115i</v>
      </c>
      <c r="AQ49" s="105" t="str">
        <f t="shared" si="2"/>
        <v>0.000000001-0.00000000000000001i</v>
      </c>
      <c r="AR49" s="105" t="str">
        <f t="shared" si="13"/>
        <v>0.00858412698412699+8.41244444444444i</v>
      </c>
      <c r="AS49" s="93" t="str">
        <f t="shared" si="4"/>
        <v>9999999999+9999999i</v>
      </c>
      <c r="AU49" s="87" t="str">
        <f t="shared" si="1"/>
        <v>0.00858412798412699+8.41244444444444i</v>
      </c>
      <c r="AV49" s="87" t="str">
        <f t="shared" si="5"/>
        <v>1716843.80068582+84124530277.3032i</v>
      </c>
      <c r="AW49" s="87" t="str">
        <f t="shared" si="6"/>
        <v>9999999999.00858+10000007.4124444i</v>
      </c>
      <c r="AX49" s="87" t="str">
        <f t="shared" si="7"/>
        <v>0.00858413506102023+8.41244444442292i</v>
      </c>
      <c r="AY49" s="87" t="str">
        <f t="shared" si="8"/>
        <v>0.00868413506102023+6.55897376091142i</v>
      </c>
      <c r="AZ49" s="87">
        <f t="shared" si="9"/>
        <v>9.7999999999999972</v>
      </c>
      <c r="BA49" s="87">
        <f t="shared" si="10"/>
        <v>6.5589795098419286</v>
      </c>
    </row>
    <row r="50" spans="2:53" x14ac:dyDescent="0.25">
      <c r="C50" s="110"/>
      <c r="N50" s="155"/>
      <c r="O50" s="143"/>
      <c r="AO50" s="87">
        <f t="shared" si="11"/>
        <v>9.9999999999999964</v>
      </c>
      <c r="AP50" s="126" t="str">
        <f t="shared" si="12"/>
        <v>0.0001-1.81640126984127i</v>
      </c>
      <c r="AQ50" s="105" t="str">
        <f t="shared" si="2"/>
        <v>0.000000001-0.00000000000000001i</v>
      </c>
      <c r="AR50" s="105" t="str">
        <f t="shared" si="13"/>
        <v>0.00858412698412699+8.58412698412698i</v>
      </c>
      <c r="AS50" s="93" t="str">
        <f t="shared" si="4"/>
        <v>9999999999+9999999i</v>
      </c>
      <c r="AU50" s="87" t="str">
        <f t="shared" si="1"/>
        <v>0.00858412798412699+8.58412698412698i</v>
      </c>
      <c r="AV50" s="87" t="str">
        <f t="shared" si="5"/>
        <v>18.5755429565907+85841355673.9569i</v>
      </c>
      <c r="AW50" s="87" t="str">
        <f t="shared" si="6"/>
        <v>9999999999.00858+10000007.584127i</v>
      </c>
      <c r="AX50" s="87" t="str">
        <f t="shared" si="7"/>
        <v>0.00858413535282114+8.58412698410488i</v>
      </c>
      <c r="AY50" s="87" t="str">
        <f t="shared" si="8"/>
        <v>0.00868413535282114+6.76772571426361i</v>
      </c>
      <c r="AZ50" s="87">
        <f t="shared" si="9"/>
        <v>9.9999999999999964</v>
      </c>
      <c r="BA50" s="87">
        <f t="shared" si="10"/>
        <v>6.7677312858676437</v>
      </c>
    </row>
    <row r="51" spans="2:53" x14ac:dyDescent="0.25">
      <c r="N51" s="143"/>
      <c r="O51" s="143"/>
      <c r="AO51" s="87">
        <f t="shared" si="11"/>
        <v>10.199999999999996</v>
      </c>
      <c r="AP51" s="126" t="str">
        <f t="shared" si="12"/>
        <v>0.0001-1.78078555866791i</v>
      </c>
      <c r="AQ51" s="105" t="str">
        <f t="shared" si="2"/>
        <v>0.000000001-0.00000000000000001i</v>
      </c>
      <c r="AR51" s="105" t="str">
        <f t="shared" si="13"/>
        <v>0.00858412698412699+8.75580952380952i</v>
      </c>
      <c r="AS51" s="93" t="str">
        <f t="shared" si="4"/>
        <v>9999999999+9999999i</v>
      </c>
      <c r="AU51" s="87" t="str">
        <f t="shared" si="1"/>
        <v>0.00858412798412699+8.75580952380952i</v>
      </c>
      <c r="AV51" s="87" t="str">
        <f t="shared" si="5"/>
        <v>-1716806.64959991+87558181070.6106i</v>
      </c>
      <c r="AW51" s="87" t="str">
        <f t="shared" si="6"/>
        <v>9999999999.00858+10000007.7558095i</v>
      </c>
      <c r="AX51" s="87" t="str">
        <f t="shared" si="7"/>
        <v>0.00858413565051695+8.75580952378682i</v>
      </c>
      <c r="AY51" s="87" t="str">
        <f t="shared" si="8"/>
        <v>0.00868413565051695+6.97502396511891i</v>
      </c>
      <c r="AZ51" s="87">
        <f t="shared" si="9"/>
        <v>10.199999999999996</v>
      </c>
      <c r="BA51" s="87">
        <f t="shared" si="10"/>
        <v>6.9750293711349425</v>
      </c>
    </row>
    <row r="52" spans="2:53" x14ac:dyDescent="0.25">
      <c r="B52" s="91"/>
      <c r="D52" s="92"/>
      <c r="N52" s="143"/>
      <c r="O52" s="143"/>
      <c r="AO52" s="87">
        <f t="shared" si="11"/>
        <v>10.399999999999995</v>
      </c>
      <c r="AP52" s="126" t="str">
        <f t="shared" si="12"/>
        <v>0.0001-1.74653968253968i</v>
      </c>
      <c r="AQ52" s="105" t="str">
        <f t="shared" si="2"/>
        <v>0.000000001-0.00000000000000001i</v>
      </c>
      <c r="AR52" s="105" t="str">
        <f t="shared" si="13"/>
        <v>0.00858412698412699+8.92749206349206i</v>
      </c>
      <c r="AS52" s="93" t="str">
        <f t="shared" si="4"/>
        <v>9999999999+9999999i</v>
      </c>
      <c r="AU52" s="87" t="str">
        <f t="shared" si="1"/>
        <v>0.00858412798412699+8.92749206349206i</v>
      </c>
      <c r="AV52" s="87" t="str">
        <f t="shared" si="5"/>
        <v>-3433631.87474278+89275006467.2644i</v>
      </c>
      <c r="AW52" s="87" t="str">
        <f t="shared" si="6"/>
        <v>9999999999.00858+10000007.9274921i</v>
      </c>
      <c r="AX52" s="87" t="str">
        <f t="shared" si="7"/>
        <v>0.00858413595410782+8.92749206346877i</v>
      </c>
      <c r="AY52" s="87" t="str">
        <f t="shared" si="8"/>
        <v>0.00868413595410782+7.18095238092909i</v>
      </c>
      <c r="AZ52" s="87">
        <f t="shared" si="9"/>
        <v>10.399999999999995</v>
      </c>
      <c r="BA52" s="87">
        <f t="shared" si="10"/>
        <v>7.1809576319170985</v>
      </c>
    </row>
    <row r="53" spans="2:53" x14ac:dyDescent="0.25">
      <c r="B53" s="91"/>
      <c r="D53" s="92"/>
      <c r="N53" s="143"/>
      <c r="O53" s="143"/>
      <c r="AO53" s="87">
        <f t="shared" si="11"/>
        <v>10.599999999999994</v>
      </c>
      <c r="AP53" s="126" t="str">
        <f t="shared" si="12"/>
        <v>0.0001-1.71358610362384i</v>
      </c>
      <c r="AQ53" s="105" t="str">
        <f t="shared" si="2"/>
        <v>0.000000001-0.00000000000000001i</v>
      </c>
      <c r="AR53" s="105" t="str">
        <f t="shared" si="13"/>
        <v>0.00858412698412699+9.0991746031746i</v>
      </c>
      <c r="AS53" s="93" t="str">
        <f t="shared" si="4"/>
        <v>9999999999+9999999i</v>
      </c>
      <c r="AU53" s="87" t="str">
        <f t="shared" si="1"/>
        <v>0.00858412798412699+9.0991746031746i</v>
      </c>
      <c r="AV53" s="87" t="str">
        <f t="shared" si="5"/>
        <v>-5150457.09988563+90991831863.9181i</v>
      </c>
      <c r="AW53" s="87" t="str">
        <f t="shared" si="6"/>
        <v>9999999999.00858+10000008.0991746i</v>
      </c>
      <c r="AX53" s="87" t="str">
        <f t="shared" si="7"/>
        <v>0.00858413626359357+9.09917460315071i</v>
      </c>
      <c r="AY53" s="87" t="str">
        <f t="shared" si="8"/>
        <v>0.00868413626359357+7.38558849952687i</v>
      </c>
      <c r="AZ53" s="87">
        <f t="shared" si="9"/>
        <v>10.599999999999994</v>
      </c>
      <c r="BA53" s="87">
        <f t="shared" si="10"/>
        <v>7.3855936050236481</v>
      </c>
    </row>
    <row r="54" spans="2:53" x14ac:dyDescent="0.25">
      <c r="B54" s="91"/>
      <c r="D54" s="92"/>
      <c r="N54" s="143"/>
      <c r="O54" s="143"/>
      <c r="AO54" s="87">
        <f t="shared" si="11"/>
        <v>10.799999999999994</v>
      </c>
      <c r="AP54" s="126" t="str">
        <f t="shared" si="12"/>
        <v>0.0001-1.68185302763081i</v>
      </c>
      <c r="AQ54" s="105" t="str">
        <f t="shared" si="2"/>
        <v>0.000000001-0.00000000000000001i</v>
      </c>
      <c r="AR54" s="105" t="str">
        <f t="shared" si="13"/>
        <v>0.00858412698412699+9.27085714285714i</v>
      </c>
      <c r="AS54" s="93" t="str">
        <f t="shared" si="4"/>
        <v>9999999999+9999999i</v>
      </c>
      <c r="AU54" s="87" t="str">
        <f t="shared" si="1"/>
        <v>0.00858412798412699+9.27085714285714i</v>
      </c>
      <c r="AV54" s="87" t="str">
        <f t="shared" si="5"/>
        <v>-6867282.32502849+92708657260.5718i</v>
      </c>
      <c r="AW54" s="87" t="str">
        <f t="shared" si="6"/>
        <v>9999999999.00858+10000008.2708571i</v>
      </c>
      <c r="AX54" s="87" t="str">
        <f t="shared" si="7"/>
        <v>0.00858413657897429+9.27085714283263i</v>
      </c>
      <c r="AY54" s="87" t="str">
        <f t="shared" si="8"/>
        <v>0.00868413657897429+7.58900411520182i</v>
      </c>
      <c r="AZ54" s="87">
        <f t="shared" si="9"/>
        <v>10.799999999999994</v>
      </c>
      <c r="BA54" s="87">
        <f t="shared" si="10"/>
        <v>7.589009083851348</v>
      </c>
    </row>
    <row r="55" spans="2:53" x14ac:dyDescent="0.25">
      <c r="B55" s="91"/>
      <c r="D55" s="92"/>
      <c r="N55" s="143"/>
      <c r="O55" s="143"/>
      <c r="AO55" s="87">
        <f t="shared" si="11"/>
        <v>10.999999999999993</v>
      </c>
      <c r="AP55" s="126" t="str">
        <f t="shared" si="12"/>
        <v>0.0001-1.65127388167388i</v>
      </c>
      <c r="AQ55" s="105" t="str">
        <f t="shared" si="2"/>
        <v>0.000000001-0.00000000000000001i</v>
      </c>
      <c r="AR55" s="105" t="str">
        <f t="shared" si="13"/>
        <v>0.00858412698412699+9.44253968253968i</v>
      </c>
      <c r="AS55" s="93" t="str">
        <f t="shared" si="4"/>
        <v>9999999999+9999999i</v>
      </c>
      <c r="AU55" s="87" t="str">
        <f t="shared" si="1"/>
        <v>0.00858412798412699+9.44253968253968i</v>
      </c>
      <c r="AV55" s="87" t="str">
        <f t="shared" si="5"/>
        <v>-8584107.55017135+94425482657.2255i</v>
      </c>
      <c r="AW55" s="87" t="str">
        <f t="shared" si="6"/>
        <v>9999999999.00858+10000008.4425397i</v>
      </c>
      <c r="AX55" s="87" t="str">
        <f t="shared" si="7"/>
        <v>0.00858413690025008+9.44253968251456i</v>
      </c>
      <c r="AY55" s="87" t="str">
        <f t="shared" si="8"/>
        <v>0.00868413690025008+7.79126580084068i</v>
      </c>
      <c r="AZ55" s="87">
        <f t="shared" si="9"/>
        <v>10.999999999999993</v>
      </c>
      <c r="BA55" s="87">
        <f t="shared" si="10"/>
        <v>7.7912706405042345</v>
      </c>
    </row>
    <row r="56" spans="2:53" x14ac:dyDescent="0.25">
      <c r="N56" s="143"/>
      <c r="O56" s="143"/>
      <c r="AO56" s="87">
        <f t="shared" si="11"/>
        <v>11.199999999999992</v>
      </c>
      <c r="AP56" s="126" t="str">
        <f t="shared" si="12"/>
        <v>0.0001-1.62178684807256i</v>
      </c>
      <c r="AQ56" s="105" t="str">
        <f t="shared" si="2"/>
        <v>0.000000001-0.00000000000000001i</v>
      </c>
      <c r="AR56" s="105" t="str">
        <f t="shared" si="13"/>
        <v>0.00858412698412699+9.61422222222222i</v>
      </c>
      <c r="AS56" s="93" t="str">
        <f t="shared" si="4"/>
        <v>9999999999+9999999i</v>
      </c>
      <c r="AU56" s="87" t="str">
        <f t="shared" si="1"/>
        <v>0.00858412798412699+9.61422222222222i</v>
      </c>
      <c r="AV56" s="87" t="str">
        <f t="shared" si="5"/>
        <v>-10300932.7753142+96142308053.8792i</v>
      </c>
      <c r="AW56" s="87" t="str">
        <f t="shared" si="6"/>
        <v>9999999999.00858+10000008.6142222i</v>
      </c>
      <c r="AX56" s="87" t="str">
        <f t="shared" si="7"/>
        <v>0.00858413722742075+9.61422222219647i</v>
      </c>
      <c r="AY56" s="87" t="str">
        <f t="shared" si="8"/>
        <v>0.00868413722742075+7.99243537412391i</v>
      </c>
      <c r="AZ56" s="87">
        <f t="shared" si="9"/>
        <v>11.199999999999992</v>
      </c>
      <c r="BA56" s="87">
        <f t="shared" si="10"/>
        <v>7.9924400919735774</v>
      </c>
    </row>
    <row r="57" spans="2:53" x14ac:dyDescent="0.25">
      <c r="N57" s="143"/>
      <c r="O57" s="143"/>
      <c r="AO57" s="87">
        <f t="shared" si="11"/>
        <v>11.399999999999991</v>
      </c>
      <c r="AP57" s="126" t="str">
        <f t="shared" si="12"/>
        <v>0.0001-1.59333444722919i</v>
      </c>
      <c r="AQ57" s="105" t="str">
        <f t="shared" si="2"/>
        <v>0.000000001-0.00000000000000001i</v>
      </c>
      <c r="AR57" s="105" t="str">
        <f t="shared" si="13"/>
        <v>0.00858412698412699+9.78590476190476i</v>
      </c>
      <c r="AS57" s="93" t="str">
        <f t="shared" si="4"/>
        <v>9999999999+9999999i</v>
      </c>
      <c r="AU57" s="87" t="str">
        <f t="shared" si="1"/>
        <v>0.00858412798412699+9.78590476190476i</v>
      </c>
      <c r="AV57" s="87" t="str">
        <f t="shared" si="5"/>
        <v>-12017758.0004571+97859133450.533i</v>
      </c>
      <c r="AW57" s="87" t="str">
        <f t="shared" si="6"/>
        <v>9999999999.00858+10000008.7859048i</v>
      </c>
      <c r="AX57" s="87" t="str">
        <f t="shared" si="7"/>
        <v>0.00858413756048649+9.78590476187839i</v>
      </c>
      <c r="AY57" s="87" t="str">
        <f t="shared" si="8"/>
        <v>0.00868413756048649+8.1925703146492i</v>
      </c>
      <c r="AZ57" s="87">
        <f t="shared" si="9"/>
        <v>11.399999999999991</v>
      </c>
      <c r="BA57" s="87">
        <f t="shared" si="10"/>
        <v>8.19257491724772</v>
      </c>
    </row>
    <row r="58" spans="2:53" x14ac:dyDescent="0.25">
      <c r="N58" s="143"/>
      <c r="O58" s="143"/>
      <c r="AO58" s="87">
        <f t="shared" si="11"/>
        <v>11.599999999999991</v>
      </c>
      <c r="AP58" s="126" t="str">
        <f t="shared" si="12"/>
        <v>0.0001-1.56586316365627i</v>
      </c>
      <c r="AQ58" s="105" t="str">
        <f t="shared" si="2"/>
        <v>0.000000001-0.00000000000000001i</v>
      </c>
      <c r="AR58" s="105" t="str">
        <f t="shared" si="13"/>
        <v>0.00858412698412699+9.9575873015873i</v>
      </c>
      <c r="AS58" s="93" t="str">
        <f t="shared" si="4"/>
        <v>9999999999+9999999i</v>
      </c>
      <c r="AU58" s="87" t="str">
        <f t="shared" si="1"/>
        <v>0.00858412798412699+9.9575873015873i</v>
      </c>
      <c r="AV58" s="87" t="str">
        <f t="shared" si="5"/>
        <v>-13734583.2255999+99575958847.1867i</v>
      </c>
      <c r="AW58" s="87" t="str">
        <f t="shared" si="6"/>
        <v>9999999999.00858+10000008.9575873i</v>
      </c>
      <c r="AX58" s="87" t="str">
        <f t="shared" si="7"/>
        <v>0.00858413789944711+9.9575873015603i</v>
      </c>
      <c r="AY58" s="87" t="str">
        <f t="shared" si="8"/>
        <v>0.00868413789944711+8.39172413790403i</v>
      </c>
      <c r="AZ58" s="87">
        <f t="shared" si="9"/>
        <v>11.599999999999991</v>
      </c>
      <c r="BA58" s="87">
        <f t="shared" si="10"/>
        <v>8.3917286312733079</v>
      </c>
    </row>
    <row r="59" spans="2:53" x14ac:dyDescent="0.25">
      <c r="N59" s="143"/>
      <c r="O59" s="143"/>
      <c r="AO59" s="87">
        <f t="shared" si="11"/>
        <v>11.79999999999999</v>
      </c>
      <c r="AP59" s="126" t="str">
        <f t="shared" si="12"/>
        <v>0.0001-1.53932311003498i</v>
      </c>
      <c r="AQ59" s="105" t="str">
        <f t="shared" si="2"/>
        <v>0.000000001-0.00000000000000001i</v>
      </c>
      <c r="AR59" s="105" t="str">
        <f t="shared" si="13"/>
        <v>0.00858412698412699+10.1292698412698i</v>
      </c>
      <c r="AS59" s="93" t="str">
        <f t="shared" si="4"/>
        <v>9999999999+9999999i</v>
      </c>
      <c r="AU59" s="87" t="str">
        <f t="shared" si="1"/>
        <v>0.00858412798412699+10.1292698412698i</v>
      </c>
      <c r="AV59" s="87" t="str">
        <f t="shared" si="5"/>
        <v>-15451408.4507424+101292784243.84i</v>
      </c>
      <c r="AW59" s="87" t="str">
        <f t="shared" si="6"/>
        <v>9999999999.00858+10000009.1292698i</v>
      </c>
      <c r="AX59" s="87" t="str">
        <f t="shared" si="7"/>
        <v>0.00858413824430269+10.1292698412422i</v>
      </c>
      <c r="AY59" s="87" t="str">
        <f t="shared" si="8"/>
        <v>0.00868413824430269+8.58994673120722i</v>
      </c>
      <c r="AZ59" s="87">
        <f t="shared" si="9"/>
        <v>11.79999999999999</v>
      </c>
      <c r="BA59" s="87">
        <f t="shared" si="10"/>
        <v>8.5899511208873971</v>
      </c>
    </row>
    <row r="60" spans="2:53" x14ac:dyDescent="0.25">
      <c r="N60" s="143"/>
      <c r="O60" s="143"/>
      <c r="AO60" s="87">
        <f t="shared" si="11"/>
        <v>11.999999999999989</v>
      </c>
      <c r="AP60" s="126" t="str">
        <f t="shared" si="12"/>
        <v>0.0001-1.51366772486773i</v>
      </c>
      <c r="AQ60" s="105" t="str">
        <f t="shared" si="2"/>
        <v>0.000000001-0.00000000000000001i</v>
      </c>
      <c r="AR60" s="105" t="str">
        <f t="shared" si="13"/>
        <v>0.00858412698412699+10.3009523809524i</v>
      </c>
      <c r="AS60" s="93" t="str">
        <f t="shared" si="4"/>
        <v>9999999999+9999999i</v>
      </c>
      <c r="AU60" s="87" t="str">
        <f t="shared" si="1"/>
        <v>0.00858412798412699+10.3009523809524i</v>
      </c>
      <c r="AV60" s="87" t="str">
        <f t="shared" si="5"/>
        <v>-17168233.6758859+103009609640.494i</v>
      </c>
      <c r="AW60" s="87" t="str">
        <f t="shared" si="6"/>
        <v>9999999999.00858+10000009.3009524i</v>
      </c>
      <c r="AX60" s="87" t="str">
        <f t="shared" si="7"/>
        <v>0.00858413859505332+10.3009523809241i</v>
      </c>
      <c r="AY60" s="87" t="str">
        <f t="shared" si="8"/>
        <v>0.00868413859505332+8.78728465605637i</v>
      </c>
      <c r="AZ60" s="87">
        <f t="shared" si="9"/>
        <v>11.999999999999989</v>
      </c>
      <c r="BA60" s="87">
        <f t="shared" si="10"/>
        <v>8.7872889471569593</v>
      </c>
    </row>
    <row r="61" spans="2:53" ht="34.5" customHeight="1" x14ac:dyDescent="0.25">
      <c r="B61" s="109"/>
      <c r="C61" s="101"/>
      <c r="D61" s="108"/>
      <c r="E61" s="101"/>
      <c r="AO61" s="87">
        <f t="shared" si="11"/>
        <v>12.199999999999989</v>
      </c>
      <c r="AP61" s="126" t="str">
        <f t="shared" si="12"/>
        <v>0.0001-1.4888534998699i</v>
      </c>
      <c r="AQ61" s="105" t="str">
        <f t="shared" si="2"/>
        <v>0.000000001-0.00000000000000001i</v>
      </c>
      <c r="AR61" s="105" t="str">
        <f t="shared" si="13"/>
        <v>0.00858412698412699+10.4726349206349i</v>
      </c>
      <c r="AS61" s="93" t="str">
        <f t="shared" si="4"/>
        <v>9999999999+9999999i</v>
      </c>
      <c r="AU61" s="87" t="str">
        <f t="shared" si="1"/>
        <v>0.00858412798412699+10.4726349206349i</v>
      </c>
      <c r="AV61" s="87" t="str">
        <f t="shared" si="5"/>
        <v>-18885058.9010283+104726435037.148i</v>
      </c>
      <c r="AW61" s="87" t="str">
        <f t="shared" si="6"/>
        <v>9999999999.00858+10000009.4726349i</v>
      </c>
      <c r="AX61" s="87" t="str">
        <f t="shared" si="7"/>
        <v>0.00858413895169892+10.472634920606i</v>
      </c>
      <c r="AY61" s="87" t="str">
        <f t="shared" si="8"/>
        <v>0.00868413895169892+8.9837814207361i</v>
      </c>
      <c r="AZ61" s="87">
        <f t="shared" si="9"/>
        <v>12.199999999999989</v>
      </c>
      <c r="BA61" s="87">
        <f t="shared" si="10"/>
        <v>8.9837856179804554</v>
      </c>
    </row>
    <row r="62" spans="2:53" ht="36" customHeight="1" x14ac:dyDescent="0.55000000000000004">
      <c r="B62" s="118" t="s">
        <v>45</v>
      </c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AO62" s="87">
        <f t="shared" si="11"/>
        <v>12.399999999999988</v>
      </c>
      <c r="AP62" s="126" t="str">
        <f t="shared" si="12"/>
        <v>0.0001-1.46483973374296i</v>
      </c>
      <c r="AQ62" s="105" t="str">
        <f t="shared" si="2"/>
        <v>0.000000001-0.00000000000000001i</v>
      </c>
      <c r="AR62" s="105" t="str">
        <f t="shared" si="13"/>
        <v>0.00858412698412699+10.6443174603175i</v>
      </c>
      <c r="AS62" s="93" t="str">
        <f t="shared" si="4"/>
        <v>9999999999+9999999i</v>
      </c>
      <c r="AU62" s="87" t="str">
        <f t="shared" si="1"/>
        <v>0.00858412798412699+10.6443174603175i</v>
      </c>
      <c r="AV62" s="87" t="str">
        <f t="shared" si="5"/>
        <v>-20601884.1261718+106443260433.802i</v>
      </c>
      <c r="AW62" s="87" t="str">
        <f t="shared" si="6"/>
        <v>9999999999.00858+10000009.6443175i</v>
      </c>
      <c r="AX62" s="87" t="str">
        <f t="shared" si="7"/>
        <v>0.00858413931423949+10.6443174602879i</v>
      </c>
      <c r="AY62" s="87" t="str">
        <f t="shared" si="8"/>
        <v>0.00868413931423949+9.17947772654494i</v>
      </c>
      <c r="AZ62" s="87">
        <f t="shared" si="9"/>
        <v>12.399999999999988</v>
      </c>
      <c r="BA62" s="87">
        <f t="shared" si="10"/>
        <v>9.179481834309076</v>
      </c>
    </row>
    <row r="63" spans="2:53" ht="19.5" customHeight="1" x14ac:dyDescent="0.4">
      <c r="B63" s="175" t="str">
        <f>"Notch Filter Design - Stage/Branch: "&amp;I9&amp;", Tuning Point: "&amp;FIXED(D10,2)&amp;", Reference: "&amp;I8</f>
        <v>Notch Filter Design - Stage/Branch: Branch/Stage #, Tuning Point: 4.60, Reference: Enter Job Name</v>
      </c>
      <c r="C63" s="120"/>
      <c r="D63" s="120"/>
      <c r="E63" s="120"/>
      <c r="F63" s="120"/>
      <c r="G63" s="174"/>
      <c r="H63" s="174"/>
      <c r="I63" s="174"/>
      <c r="J63" s="174"/>
      <c r="K63" s="174"/>
      <c r="L63" s="186" t="s">
        <v>171</v>
      </c>
      <c r="AO63" s="87">
        <f t="shared" si="11"/>
        <v>12.599999999999987</v>
      </c>
      <c r="AP63" s="126" t="str">
        <f t="shared" si="12"/>
        <v>0.0001-1.44158830939783i</v>
      </c>
      <c r="AQ63" s="105" t="str">
        <f t="shared" si="2"/>
        <v>0.000000001-0.00000000000000001i</v>
      </c>
      <c r="AR63" s="105" t="str">
        <f t="shared" si="13"/>
        <v>0.00858412698412699+10.816i</v>
      </c>
      <c r="AS63" s="93" t="str">
        <f t="shared" si="4"/>
        <v>9999999999+9999999i</v>
      </c>
      <c r="AU63" s="87" t="str">
        <f t="shared" si="1"/>
        <v>0.00858412798412699+10.816i</v>
      </c>
      <c r="AV63" s="87" t="str">
        <f t="shared" si="5"/>
        <v>-22318709.3513142+108160085830.455i</v>
      </c>
      <c r="AW63" s="87" t="str">
        <f t="shared" si="6"/>
        <v>9999999999.00858+10000009.816i</v>
      </c>
      <c r="AX63" s="87" t="str">
        <f t="shared" si="7"/>
        <v>0.00858413968267494+10.8159999999697i</v>
      </c>
      <c r="AY63" s="87" t="str">
        <f t="shared" si="8"/>
        <v>0.00868413968267494+9.37441169057187i</v>
      </c>
      <c r="AZ63" s="87">
        <f t="shared" si="9"/>
        <v>12.599999999999987</v>
      </c>
      <c r="BA63" s="87">
        <f t="shared" si="10"/>
        <v>9.3744157129184629</v>
      </c>
    </row>
    <row r="64" spans="2:53" x14ac:dyDescent="0.25">
      <c r="N64" s="143"/>
      <c r="O64" s="143"/>
      <c r="AO64" s="87">
        <f t="shared" si="11"/>
        <v>12.799999999999986</v>
      </c>
      <c r="AP64" s="126" t="str">
        <f t="shared" si="12"/>
        <v>0.0001-1.41906349206349i</v>
      </c>
      <c r="AQ64" s="105" t="str">
        <f t="shared" si="2"/>
        <v>0.000000001-0.00000000000000001i</v>
      </c>
      <c r="AR64" s="105" t="str">
        <f t="shared" si="13"/>
        <v>0.00858412698412699+10.9876825396825i</v>
      </c>
      <c r="AS64" s="93" t="str">
        <f t="shared" si="4"/>
        <v>9999999999+9999999i</v>
      </c>
      <c r="AU64" s="87" t="str">
        <f t="shared" si="1"/>
        <v>0.00858412798412699+10.9876825396825i</v>
      </c>
      <c r="AV64" s="87" t="str">
        <f t="shared" si="5"/>
        <v>-24035534.5764567+109876911227.109i</v>
      </c>
      <c r="AW64" s="87" t="str">
        <f t="shared" si="6"/>
        <v>9999999999.00858+10000009.9876825i</v>
      </c>
      <c r="AX64" s="87" t="str">
        <f t="shared" si="7"/>
        <v>0.00858414005700545+10.9876825396516i</v>
      </c>
      <c r="AY64" s="87" t="str">
        <f t="shared" si="8"/>
        <v>0.00868414005700545+9.56861904758811i</v>
      </c>
      <c r="AZ64" s="87">
        <f t="shared" si="9"/>
        <v>12.799999999999986</v>
      </c>
      <c r="BA64" s="87">
        <f t="shared" si="10"/>
        <v>9.5686229882964096</v>
      </c>
    </row>
    <row r="65" spans="2:53" x14ac:dyDescent="0.25">
      <c r="N65" s="143"/>
      <c r="O65" s="143"/>
      <c r="AO65" s="87">
        <f t="shared" si="11"/>
        <v>12.999999999999986</v>
      </c>
      <c r="AP65" s="126" t="str">
        <f t="shared" si="12"/>
        <v>0.0001-1.39723174603175i</v>
      </c>
      <c r="AQ65" s="105" t="str">
        <f t="shared" si="2"/>
        <v>0.000000001-0.00000000000000001i</v>
      </c>
      <c r="AR65" s="105" t="str">
        <f t="shared" si="13"/>
        <v>0.00858412698412699+11.1593650793651i</v>
      </c>
      <c r="AS65" s="93" t="str">
        <f t="shared" si="4"/>
        <v>9999999999+9999999i</v>
      </c>
      <c r="AU65" s="87" t="str">
        <f t="shared" si="1"/>
        <v>0.00858412798412699+11.1593650793651i</v>
      </c>
      <c r="AV65" s="87" t="str">
        <f t="shared" si="5"/>
        <v>-25752359.8016002+111593736623.763i</v>
      </c>
      <c r="AW65" s="87" t="str">
        <f t="shared" si="6"/>
        <v>9999999999.00858+10000010.1593651i</v>
      </c>
      <c r="AX65" s="87" t="str">
        <f t="shared" si="7"/>
        <v>0.00858414043723095+11.1593650793335i</v>
      </c>
      <c r="AY65" s="87" t="str">
        <f t="shared" si="8"/>
        <v>0.00868414043723095+9.76213333330175i</v>
      </c>
      <c r="AZ65" s="87">
        <f t="shared" si="9"/>
        <v>12.999999999999986</v>
      </c>
      <c r="BA65" s="87">
        <f t="shared" si="10"/>
        <v>9.7621371958939527</v>
      </c>
    </row>
    <row r="66" spans="2:53" x14ac:dyDescent="0.25">
      <c r="N66" s="143"/>
      <c r="O66" s="143"/>
      <c r="AO66" s="87">
        <f t="shared" si="11"/>
        <v>13.199999999999985</v>
      </c>
      <c r="AP66" s="126" t="str">
        <f t="shared" si="12"/>
        <v>0.0001-1.37606156806157i</v>
      </c>
      <c r="AQ66" s="105" t="str">
        <f t="shared" si="2"/>
        <v>0.000000001-0.00000000000000001i</v>
      </c>
      <c r="AR66" s="105" t="str">
        <f t="shared" si="13"/>
        <v>0.00858412698412699+11.3310476190476i</v>
      </c>
      <c r="AS66" s="93" t="str">
        <f t="shared" si="4"/>
        <v>9999999999+9999999i</v>
      </c>
      <c r="AU66" s="87" t="str">
        <f t="shared" si="1"/>
        <v>0.00858412798412699+11.3310476190476i</v>
      </c>
      <c r="AV66" s="87" t="str">
        <f t="shared" si="5"/>
        <v>-27469185.0267426+113310562020.416i</v>
      </c>
      <c r="AW66" s="87" t="str">
        <f t="shared" si="6"/>
        <v>9999999999.00858+10000010.3310476i</v>
      </c>
      <c r="AX66" s="87" t="str">
        <f t="shared" si="7"/>
        <v>0.00858414082335131+11.3310476190153i</v>
      </c>
      <c r="AY66" s="87" t="str">
        <f t="shared" si="8"/>
        <v>0.00868414082335131+9.95498605095373i</v>
      </c>
      <c r="AZ66" s="87">
        <f t="shared" si="9"/>
        <v>13.199999999999985</v>
      </c>
      <c r="BA66" s="87">
        <f t="shared" si="10"/>
        <v>9.9549898387183298</v>
      </c>
    </row>
    <row r="67" spans="2:53" x14ac:dyDescent="0.25">
      <c r="B67" s="91"/>
      <c r="D67" s="94"/>
      <c r="E67" s="94"/>
      <c r="F67" s="94"/>
      <c r="G67" s="94"/>
      <c r="H67" s="94"/>
      <c r="I67" s="94"/>
      <c r="J67" s="94"/>
      <c r="K67" s="94"/>
      <c r="N67" s="143"/>
      <c r="O67" s="143"/>
      <c r="AO67" s="87">
        <f t="shared" si="11"/>
        <v>13.399999999999984</v>
      </c>
      <c r="AP67" s="126" t="str">
        <f t="shared" si="12"/>
        <v>0.0001-1.35552333570244i</v>
      </c>
      <c r="AQ67" s="105" t="str">
        <f t="shared" si="2"/>
        <v>0.000000001-0.00000000000000001i</v>
      </c>
      <c r="AR67" s="105" t="str">
        <f t="shared" si="13"/>
        <v>0.00858412698412699+11.5027301587302i</v>
      </c>
      <c r="AS67" s="93" t="str">
        <f t="shared" si="4"/>
        <v>9999999999+9999999i</v>
      </c>
      <c r="AU67" s="87" t="str">
        <f t="shared" si="1"/>
        <v>0.00858412798412699+11.5027301587302i</v>
      </c>
      <c r="AV67" s="87" t="str">
        <f t="shared" si="5"/>
        <v>-29186010.2518861+115027387417.071i</v>
      </c>
      <c r="AW67" s="87" t="str">
        <f t="shared" si="6"/>
        <v>9999999999.00858+10000010.5027302i</v>
      </c>
      <c r="AX67" s="87" t="str">
        <f t="shared" si="7"/>
        <v>0.00858414121536686+11.5027301586973i</v>
      </c>
      <c r="AY67" s="87" t="str">
        <f t="shared" si="8"/>
        <v>0.00868414121536686+10.1472068229949i</v>
      </c>
      <c r="AZ67" s="87">
        <f t="shared" si="9"/>
        <v>13.399999999999984</v>
      </c>
      <c r="BA67" s="87">
        <f t="shared" si="10"/>
        <v>10.147210539007402</v>
      </c>
    </row>
    <row r="68" spans="2:53" x14ac:dyDescent="0.25">
      <c r="F68" s="94"/>
      <c r="G68" s="94"/>
      <c r="H68" s="94"/>
      <c r="I68" s="94"/>
      <c r="J68" s="94"/>
      <c r="K68" s="94"/>
      <c r="N68" s="143"/>
      <c r="O68" s="143"/>
      <c r="AO68" s="87">
        <f t="shared" si="11"/>
        <v>13.599999999999984</v>
      </c>
      <c r="AP68" s="126" t="str">
        <f t="shared" si="12"/>
        <v>0.0001-1.33558916900094i</v>
      </c>
      <c r="AQ68" s="105" t="str">
        <f t="shared" si="2"/>
        <v>0.000000001-0.00000000000000001i</v>
      </c>
      <c r="AR68" s="105" t="str">
        <f t="shared" si="13"/>
        <v>0.00858412698412699+11.6744126984127i</v>
      </c>
      <c r="AS68" s="93" t="str">
        <f t="shared" si="4"/>
        <v>9999999999+9999999i</v>
      </c>
      <c r="AU68" s="87" t="str">
        <f t="shared" si="1"/>
        <v>0.00858412798412699+11.6744126984127i</v>
      </c>
      <c r="AV68" s="87" t="str">
        <f t="shared" si="5"/>
        <v>-30902835.4770285+116744212813.724i</v>
      </c>
      <c r="AW68" s="87" t="str">
        <f t="shared" si="6"/>
        <v>9999999999.00858+10000010.6744127i</v>
      </c>
      <c r="AX68" s="87" t="str">
        <f t="shared" si="7"/>
        <v>0.00858414161327717+11.6744126983791i</v>
      </c>
      <c r="AY68" s="87" t="str">
        <f t="shared" si="8"/>
        <v>0.00868414161327717+10.3388235293782i</v>
      </c>
      <c r="AZ68" s="87">
        <f t="shared" si="9"/>
        <v>13.599999999999984</v>
      </c>
      <c r="BA68" s="87">
        <f t="shared" si="10"/>
        <v>10.33882717651958</v>
      </c>
    </row>
    <row r="69" spans="2:53" x14ac:dyDescent="0.25">
      <c r="AN69" s="87" t="s">
        <v>0</v>
      </c>
      <c r="AO69" s="87">
        <f t="shared" si="11"/>
        <v>13.799999999999983</v>
      </c>
      <c r="AP69" s="126" t="str">
        <f t="shared" si="12"/>
        <v>0.0001-1.31623280423281i</v>
      </c>
      <c r="AQ69" s="105" t="str">
        <f t="shared" ref="AQ69:AQ132" si="14">COMPLEX(0.000000001,-1*0.00000000000000001)</f>
        <v>0.000000001-0.00000000000000001i</v>
      </c>
      <c r="AR69" s="105" t="str">
        <f t="shared" si="13"/>
        <v>0.00858412698412699+11.8460952380952i</v>
      </c>
      <c r="AS69" s="93" t="str">
        <f t="shared" si="4"/>
        <v>9999999999+9999999i</v>
      </c>
      <c r="AU69" s="87" t="str">
        <f t="shared" ref="AU69:AU132" si="15">IMSUM(AR69,AQ69)</f>
        <v>0.00858412798412699+11.8460952380952i</v>
      </c>
      <c r="AV69" s="87" t="str">
        <f t="shared" si="5"/>
        <v>-32619660.702171+118461038210.377i</v>
      </c>
      <c r="AW69" s="87" t="str">
        <f t="shared" si="6"/>
        <v>9999999999.00858+10000010.8460952i</v>
      </c>
      <c r="AX69" s="87" t="str">
        <f t="shared" si="7"/>
        <v>0.00858414201708244+11.8460952380608i</v>
      </c>
      <c r="AY69" s="87" t="str">
        <f t="shared" si="8"/>
        <v>0.00868414201708244+10.529862433828i</v>
      </c>
      <c r="AZ69" s="87">
        <f t="shared" si="9"/>
        <v>13.799999999999983</v>
      </c>
      <c r="BA69" s="87">
        <f t="shared" si="10"/>
        <v>10.529866014801174</v>
      </c>
    </row>
    <row r="70" spans="2:53" x14ac:dyDescent="0.25">
      <c r="AO70" s="87">
        <f t="shared" si="11"/>
        <v>13.999999999999982</v>
      </c>
      <c r="AP70" s="126" t="str">
        <f t="shared" si="12"/>
        <v>0.0001-1.29742947845805i</v>
      </c>
      <c r="AQ70" s="105" t="str">
        <f t="shared" si="14"/>
        <v>0.000000001-0.00000000000000001i</v>
      </c>
      <c r="AR70" s="105" t="str">
        <f t="shared" si="13"/>
        <v>0.00858412698412699+12.0177777777778i</v>
      </c>
      <c r="AS70" s="93" t="str">
        <f t="shared" ref="AS70:AS133" si="16">COMPLEX(9999999999,9999999)</f>
        <v>9999999999+9999999i</v>
      </c>
      <c r="AU70" s="87" t="str">
        <f t="shared" si="15"/>
        <v>0.00858412798412699+12.0177777777778i</v>
      </c>
      <c r="AV70" s="87" t="str">
        <f t="shared" ref="AV70:AV133" si="17">IMPRODUCT(AU70,AS70)</f>
        <v>-34336485.9273145+120177863607.031i</v>
      </c>
      <c r="AW70" s="87" t="str">
        <f t="shared" ref="AW70:AW133" si="18">IMSUM(AS70,AU70)</f>
        <v>9999999999.00858+10000011.0177778i</v>
      </c>
      <c r="AX70" s="87" t="str">
        <f t="shared" ref="AX70:AX133" si="19">IMDIV(AV70,AW70)</f>
        <v>0.0085841424267828+12.0177777777427i</v>
      </c>
      <c r="AY70" s="87" t="str">
        <f t="shared" ref="AY70:AY133" si="20">IMSUM(AX70,AP70)</f>
        <v>0.0086841424267828+10.7203482992846i</v>
      </c>
      <c r="AZ70" s="87">
        <f t="shared" ref="AZ70:AZ133" si="21">AO70</f>
        <v>13.999999999999982</v>
      </c>
      <c r="BA70" s="87">
        <f t="shared" ref="BA70:BA133" si="22">IMABS(AY70)</f>
        <v>10.720351816629149</v>
      </c>
    </row>
    <row r="71" spans="2:53" x14ac:dyDescent="0.25">
      <c r="AO71" s="87">
        <f t="shared" ref="AO71:AO134" si="23">AO70+0.2</f>
        <v>14.199999999999982</v>
      </c>
      <c r="AP71" s="126" t="str">
        <f t="shared" si="12"/>
        <v>0.0001-1.27915582383188i</v>
      </c>
      <c r="AQ71" s="105" t="str">
        <f t="shared" si="14"/>
        <v>0.000000001-0.00000000000000001i</v>
      </c>
      <c r="AR71" s="105" t="str">
        <f t="shared" si="13"/>
        <v>0.00858412698412699+12.1894603174603i</v>
      </c>
      <c r="AS71" s="93" t="str">
        <f t="shared" si="16"/>
        <v>9999999999+9999999i</v>
      </c>
      <c r="AU71" s="87" t="str">
        <f t="shared" si="15"/>
        <v>0.00858412798412699+12.1894603174603i</v>
      </c>
      <c r="AV71" s="87" t="str">
        <f t="shared" si="17"/>
        <v>-36053311.1524569+121894689003.685i</v>
      </c>
      <c r="AW71" s="87" t="str">
        <f t="shared" si="18"/>
        <v>9999999999.00858+10000011.1894603i</v>
      </c>
      <c r="AX71" s="87" t="str">
        <f t="shared" si="19"/>
        <v>0.00858414284237813+12.1894603174245i</v>
      </c>
      <c r="AY71" s="87" t="str">
        <f t="shared" si="20"/>
        <v>0.00868414284237813+10.9103044935926i</v>
      </c>
      <c r="AZ71" s="87">
        <f t="shared" si="21"/>
        <v>14.199999999999982</v>
      </c>
      <c r="BA71" s="87">
        <f t="shared" si="22"/>
        <v>10.910307949698019</v>
      </c>
    </row>
    <row r="72" spans="2:53" x14ac:dyDescent="0.25">
      <c r="B72" s="91" t="s">
        <v>31</v>
      </c>
      <c r="D72" s="90">
        <v>1</v>
      </c>
      <c r="E72" s="98">
        <v>2</v>
      </c>
      <c r="F72" s="98">
        <v>3</v>
      </c>
      <c r="G72" s="98">
        <v>4</v>
      </c>
      <c r="H72" s="98">
        <v>5</v>
      </c>
      <c r="I72" s="98">
        <v>7</v>
      </c>
      <c r="J72" s="98">
        <v>11</v>
      </c>
      <c r="K72" s="98">
        <v>13</v>
      </c>
      <c r="AO72" s="87">
        <f t="shared" si="23"/>
        <v>14.399999999999981</v>
      </c>
      <c r="AP72" s="126" t="str">
        <f t="shared" si="12"/>
        <v>0.0001-1.26138977072311i</v>
      </c>
      <c r="AQ72" s="105" t="str">
        <f t="shared" si="14"/>
        <v>0.000000001-0.00000000000000001i</v>
      </c>
      <c r="AR72" s="105" t="str">
        <f t="shared" si="13"/>
        <v>0.00858412698412699+12.3611428571428i</v>
      </c>
      <c r="AS72" s="93" t="str">
        <f t="shared" si="16"/>
        <v>9999999999+9999999i</v>
      </c>
      <c r="AU72" s="87" t="str">
        <f t="shared" si="15"/>
        <v>0.00858412798412699+12.3611428571428i</v>
      </c>
      <c r="AV72" s="87" t="str">
        <f t="shared" si="17"/>
        <v>-37770136.3775994+123611514400.338i</v>
      </c>
      <c r="AW72" s="87" t="str">
        <f t="shared" si="18"/>
        <v>9999999999.00858+10000011.3611429i</v>
      </c>
      <c r="AX72" s="87" t="str">
        <f t="shared" si="19"/>
        <v>0.00858414326386844+12.3611428571063i</v>
      </c>
      <c r="AY72" s="87" t="str">
        <f t="shared" si="20"/>
        <v>0.00868414326386844+11.0997530863832i</v>
      </c>
      <c r="AZ72" s="87">
        <f t="shared" si="21"/>
        <v>14.399999999999981</v>
      </c>
      <c r="BA72" s="87">
        <f t="shared" si="22"/>
        <v>11.09975648350078</v>
      </c>
    </row>
    <row r="73" spans="2:53" ht="18" x14ac:dyDescent="0.35">
      <c r="B73" s="91" t="s">
        <v>32</v>
      </c>
      <c r="D73" s="142">
        <f>D14</f>
        <v>138.95064473099154</v>
      </c>
      <c r="E73" s="98">
        <v>0</v>
      </c>
      <c r="F73" s="98">
        <v>0</v>
      </c>
      <c r="G73" s="98">
        <v>0</v>
      </c>
      <c r="H73" s="98">
        <f>0.25*D73</f>
        <v>34.737661182747885</v>
      </c>
      <c r="I73" s="98">
        <v>0</v>
      </c>
      <c r="J73" s="98">
        <v>0</v>
      </c>
      <c r="K73" s="98">
        <v>0</v>
      </c>
      <c r="AO73" s="87">
        <f t="shared" si="23"/>
        <v>14.59999999999998</v>
      </c>
      <c r="AP73" s="126" t="str">
        <f t="shared" si="12"/>
        <v>0.0001-1.24411045879539i</v>
      </c>
      <c r="AQ73" s="105" t="str">
        <f t="shared" si="14"/>
        <v>0.000000001-0.00000000000000001i</v>
      </c>
      <c r="AR73" s="105" t="str">
        <f t="shared" si="13"/>
        <v>0.00858412698412699+12.5328253968254i</v>
      </c>
      <c r="AS73" s="93" t="str">
        <f t="shared" si="16"/>
        <v>9999999999+9999999i</v>
      </c>
      <c r="AU73" s="87" t="str">
        <f t="shared" si="15"/>
        <v>0.00858412798412699+12.5328253968254i</v>
      </c>
      <c r="AV73" s="87" t="str">
        <f t="shared" si="17"/>
        <v>-39486961.6027428+125328339796.992i</v>
      </c>
      <c r="AW73" s="87" t="str">
        <f t="shared" si="18"/>
        <v>9999999999.00858+10000011.5328254i</v>
      </c>
      <c r="AX73" s="87" t="str">
        <f t="shared" si="19"/>
        <v>0.00858414369125361+12.5328253967881i</v>
      </c>
      <c r="AY73" s="87" t="str">
        <f t="shared" si="20"/>
        <v>0.00868414369125361+11.2887149379927i</v>
      </c>
      <c r="AZ73" s="87">
        <f t="shared" si="21"/>
        <v>14.59999999999998</v>
      </c>
      <c r="BA73" s="87">
        <f t="shared" si="22"/>
        <v>11.288718278246257</v>
      </c>
    </row>
    <row r="74" spans="2:53" ht="18" x14ac:dyDescent="0.35">
      <c r="B74" s="91" t="s">
        <v>33</v>
      </c>
      <c r="D74" s="147">
        <f>($D$21/D72)*D73*0.5774</f>
        <v>4371.9017891549684</v>
      </c>
      <c r="E74" s="147">
        <f t="shared" ref="E74:K74" si="24">($D$21/E72)*E73*0.5774</f>
        <v>0</v>
      </c>
      <c r="F74" s="147">
        <f t="shared" si="24"/>
        <v>0</v>
      </c>
      <c r="G74" s="147">
        <f t="shared" si="24"/>
        <v>0</v>
      </c>
      <c r="H74" s="147">
        <f t="shared" si="24"/>
        <v>218.59508945774846</v>
      </c>
      <c r="I74" s="147">
        <f t="shared" si="24"/>
        <v>0</v>
      </c>
      <c r="J74" s="147">
        <f t="shared" si="24"/>
        <v>0</v>
      </c>
      <c r="K74" s="147">
        <f t="shared" si="24"/>
        <v>0</v>
      </c>
      <c r="AO74" s="87">
        <f t="shared" si="23"/>
        <v>14.799999999999979</v>
      </c>
      <c r="AP74" s="126" t="str">
        <f t="shared" si="12"/>
        <v>0.0001-1.22729815529816i</v>
      </c>
      <c r="AQ74" s="105" t="str">
        <f t="shared" si="14"/>
        <v>0.000000001-0.00000000000000001i</v>
      </c>
      <c r="AR74" s="105" t="str">
        <f t="shared" si="13"/>
        <v>0.00858412698412699+12.7045079365079i</v>
      </c>
      <c r="AS74" s="93" t="str">
        <f t="shared" si="16"/>
        <v>9999999999+9999999i</v>
      </c>
      <c r="AU74" s="87" t="str">
        <f t="shared" si="15"/>
        <v>0.00858412798412699+12.7045079365079i</v>
      </c>
      <c r="AV74" s="87" t="str">
        <f t="shared" si="17"/>
        <v>-41203786.8278853+127045165193.646i</v>
      </c>
      <c r="AW74" s="87" t="str">
        <f t="shared" si="18"/>
        <v>9999999999.00858+10000011.7045079i</v>
      </c>
      <c r="AX74" s="87" t="str">
        <f t="shared" si="19"/>
        <v>0.00858414412453385+12.70450793647i</v>
      </c>
      <c r="AY74" s="87" t="str">
        <f t="shared" si="20"/>
        <v>0.00868414412453385+11.4772097811718i</v>
      </c>
      <c r="AZ74" s="87">
        <f t="shared" si="21"/>
        <v>14.799999999999979</v>
      </c>
      <c r="BA74" s="87">
        <f t="shared" si="22"/>
        <v>11.477213066567371</v>
      </c>
    </row>
    <row r="75" spans="2:53" ht="18" x14ac:dyDescent="0.35">
      <c r="B75" s="91" t="s">
        <v>213</v>
      </c>
      <c r="D75" s="147">
        <f t="shared" ref="D75:K75" si="25">T95</f>
        <v>138.95064473099154</v>
      </c>
      <c r="E75" s="147">
        <f t="shared" si="25"/>
        <v>0</v>
      </c>
      <c r="F75" s="147">
        <f t="shared" si="25"/>
        <v>0</v>
      </c>
      <c r="G75" s="147">
        <f t="shared" si="25"/>
        <v>0</v>
      </c>
      <c r="H75" s="147">
        <f t="shared" si="25"/>
        <v>34.737661182747885</v>
      </c>
      <c r="I75" s="147">
        <f t="shared" si="25"/>
        <v>0</v>
      </c>
      <c r="J75" s="147">
        <f t="shared" si="25"/>
        <v>0</v>
      </c>
      <c r="K75" s="147">
        <f t="shared" si="25"/>
        <v>0</v>
      </c>
      <c r="AO75" s="87">
        <f t="shared" si="23"/>
        <v>14.999999999999979</v>
      </c>
      <c r="AP75" s="126" t="str">
        <f t="shared" si="12"/>
        <v>0.0001-1.21093417989418i</v>
      </c>
      <c r="AQ75" s="105" t="str">
        <f t="shared" si="14"/>
        <v>0.000000001-0.00000000000000001i</v>
      </c>
      <c r="AR75" s="105" t="str">
        <f t="shared" si="13"/>
        <v>0.00858412698412699+12.8761904761905i</v>
      </c>
      <c r="AS75" s="93" t="str">
        <f t="shared" si="16"/>
        <v>9999999999+9999999i</v>
      </c>
      <c r="AU75" s="87" t="str">
        <f t="shared" si="15"/>
        <v>0.00858412798412699+12.8761904761905i</v>
      </c>
      <c r="AV75" s="87" t="str">
        <f t="shared" si="17"/>
        <v>-42920612.0530287+128761990590.3i</v>
      </c>
      <c r="AW75" s="87" t="str">
        <f t="shared" si="18"/>
        <v>9999999999.00858+10000011.8761905i</v>
      </c>
      <c r="AX75" s="87" t="str">
        <f t="shared" si="19"/>
        <v>0.0085841445637091+12.8761904761518i</v>
      </c>
      <c r="AY75" s="87" t="str">
        <f t="shared" si="20"/>
        <v>0.0086841445637091+11.6652562962576i</v>
      </c>
      <c r="AZ75" s="87">
        <f t="shared" si="21"/>
        <v>14.999999999999979</v>
      </c>
      <c r="BA75" s="87">
        <f t="shared" si="22"/>
        <v>11.665259528692209</v>
      </c>
    </row>
    <row r="76" spans="2:53" ht="18" x14ac:dyDescent="0.35">
      <c r="B76" s="91" t="s">
        <v>214</v>
      </c>
      <c r="D76" s="89">
        <f>0.5774*D73</f>
        <v>80.230102267674525</v>
      </c>
      <c r="E76" s="89">
        <f t="shared" ref="E76:K76" si="26">0.5774*E73</f>
        <v>0</v>
      </c>
      <c r="F76" s="89">
        <f t="shared" si="26"/>
        <v>0</v>
      </c>
      <c r="G76" s="89">
        <f t="shared" si="26"/>
        <v>0</v>
      </c>
      <c r="H76" s="89">
        <f t="shared" si="26"/>
        <v>20.057525566918631</v>
      </c>
      <c r="I76" s="89">
        <f t="shared" si="26"/>
        <v>0</v>
      </c>
      <c r="J76" s="89">
        <f t="shared" si="26"/>
        <v>0</v>
      </c>
      <c r="K76" s="89">
        <f t="shared" si="26"/>
        <v>0</v>
      </c>
      <c r="Q76" s="143"/>
      <c r="R76" s="143"/>
      <c r="S76" s="143"/>
      <c r="T76" s="143"/>
      <c r="U76" s="143"/>
      <c r="V76" s="143"/>
      <c r="W76" s="143"/>
      <c r="X76" s="143"/>
      <c r="Y76" s="143"/>
      <c r="Z76" s="143"/>
      <c r="AA76" s="143"/>
      <c r="AB76" s="143"/>
      <c r="AC76" s="143"/>
      <c r="AD76" s="143"/>
      <c r="AE76" s="143"/>
      <c r="AF76" s="143"/>
      <c r="AG76" s="143"/>
      <c r="AH76" s="143"/>
      <c r="AI76" s="143"/>
      <c r="AJ76" s="143"/>
      <c r="AK76" s="143"/>
      <c r="AL76" s="143"/>
      <c r="AM76" s="143"/>
      <c r="AO76" s="87">
        <f t="shared" si="23"/>
        <v>15.199999999999978</v>
      </c>
      <c r="AP76" s="126" t="str">
        <f t="shared" si="12"/>
        <v>0.0001-1.19500083542189i</v>
      </c>
      <c r="AQ76" s="105" t="str">
        <f t="shared" si="14"/>
        <v>0.000000001-0.00000000000000001i</v>
      </c>
      <c r="AR76" s="105" t="str">
        <f t="shared" si="13"/>
        <v>0.00858412698412699+13.047873015873i</v>
      </c>
      <c r="AS76" s="93" t="str">
        <f t="shared" si="16"/>
        <v>9999999999+9999999i</v>
      </c>
      <c r="AU76" s="87" t="str">
        <f t="shared" si="15"/>
        <v>0.00858412798412699+13.047873015873i</v>
      </c>
      <c r="AV76" s="87" t="str">
        <f t="shared" si="17"/>
        <v>-44637437.2781712+130478815986.953i</v>
      </c>
      <c r="AW76" s="87" t="str">
        <f t="shared" si="18"/>
        <v>9999999999.00858+10000012.047873i</v>
      </c>
      <c r="AX76" s="87" t="str">
        <f t="shared" si="19"/>
        <v>0.00858414500877917+13.0478730158335i</v>
      </c>
      <c r="AY76" s="87" t="str">
        <f t="shared" si="20"/>
        <v>0.00868414500877917+11.8528721804116i</v>
      </c>
      <c r="AZ76" s="87">
        <f t="shared" si="21"/>
        <v>15.199999999999978</v>
      </c>
      <c r="BA76" s="87">
        <f t="shared" si="22"/>
        <v>11.852875361681223</v>
      </c>
    </row>
    <row r="77" spans="2:53" x14ac:dyDescent="0.25">
      <c r="Q77" s="143"/>
      <c r="R77" s="143"/>
      <c r="S77" s="143"/>
      <c r="T77" s="143"/>
      <c r="U77" s="143"/>
      <c r="V77" s="143"/>
      <c r="W77" s="143"/>
      <c r="X77" s="143"/>
      <c r="Y77" s="143"/>
      <c r="Z77" s="143"/>
      <c r="AA77" s="143"/>
      <c r="AB77" s="143"/>
      <c r="AC77" s="143"/>
      <c r="AD77" s="143"/>
      <c r="AE77" s="143"/>
      <c r="AF77" s="143"/>
      <c r="AG77" s="143"/>
      <c r="AH77" s="143"/>
      <c r="AI77" s="143"/>
      <c r="AJ77" s="143"/>
      <c r="AK77" s="143"/>
      <c r="AL77" s="143"/>
      <c r="AM77" s="143"/>
      <c r="AO77" s="87">
        <f t="shared" si="23"/>
        <v>15.399999999999977</v>
      </c>
      <c r="AP77" s="126" t="str">
        <f t="shared" si="12"/>
        <v>0.0001-1.17948134405277i</v>
      </c>
      <c r="AQ77" s="105" t="str">
        <f t="shared" si="14"/>
        <v>0.000000001-0.00000000000000001i</v>
      </c>
      <c r="AR77" s="105" t="str">
        <f t="shared" si="13"/>
        <v>0.00858412698412699+13.2195555555555i</v>
      </c>
      <c r="AS77" s="93" t="str">
        <f t="shared" si="16"/>
        <v>9999999999+9999999i</v>
      </c>
      <c r="AU77" s="87" t="str">
        <f t="shared" si="15"/>
        <v>0.00858412798412699+13.2195555555555i</v>
      </c>
      <c r="AV77" s="87" t="str">
        <f t="shared" si="17"/>
        <v>-46354262.5033137+132195641383.607i</v>
      </c>
      <c r="AW77" s="87" t="str">
        <f t="shared" si="18"/>
        <v>9999999999.00858+10000012.2195556i</v>
      </c>
      <c r="AX77" s="87" t="str">
        <f t="shared" si="19"/>
        <v>0.00858414545974446+13.2195555555154i</v>
      </c>
      <c r="AY77" s="87" t="str">
        <f t="shared" si="20"/>
        <v>0.00868414545974446+12.0400742114626i</v>
      </c>
      <c r="AZ77" s="87">
        <f t="shared" si="21"/>
        <v>15.399999999999977</v>
      </c>
      <c r="BA77" s="87">
        <f t="shared" si="22"/>
        <v>12.040077343269397</v>
      </c>
    </row>
    <row r="78" spans="2:53" x14ac:dyDescent="0.25">
      <c r="B78" s="91" t="s">
        <v>31</v>
      </c>
      <c r="D78" s="98">
        <v>17</v>
      </c>
      <c r="E78" s="98">
        <v>19</v>
      </c>
      <c r="F78" s="98">
        <v>23</v>
      </c>
      <c r="G78" s="98">
        <v>25</v>
      </c>
      <c r="H78" s="98">
        <v>29</v>
      </c>
      <c r="I78" s="98">
        <v>31</v>
      </c>
      <c r="J78" s="98">
        <v>35</v>
      </c>
      <c r="K78" s="98">
        <v>37</v>
      </c>
      <c r="Q78" s="143"/>
      <c r="R78" s="143"/>
      <c r="S78" s="143"/>
      <c r="T78" s="143">
        <f t="shared" ref="T78:AA78" si="27">D72</f>
        <v>1</v>
      </c>
      <c r="U78" s="143">
        <f t="shared" si="27"/>
        <v>2</v>
      </c>
      <c r="V78" s="143">
        <f t="shared" si="27"/>
        <v>3</v>
      </c>
      <c r="W78" s="143">
        <f t="shared" si="27"/>
        <v>4</v>
      </c>
      <c r="X78" s="143">
        <f t="shared" si="27"/>
        <v>5</v>
      </c>
      <c r="Y78" s="143">
        <f t="shared" si="27"/>
        <v>7</v>
      </c>
      <c r="Z78" s="143">
        <f t="shared" si="27"/>
        <v>11</v>
      </c>
      <c r="AA78" s="143">
        <f t="shared" si="27"/>
        <v>13</v>
      </c>
      <c r="AB78" s="143"/>
      <c r="AC78" s="143"/>
      <c r="AD78" s="143"/>
      <c r="AE78" s="143"/>
      <c r="AF78" s="143"/>
      <c r="AG78" s="143"/>
      <c r="AH78" s="143"/>
      <c r="AI78" s="143"/>
      <c r="AJ78" s="143"/>
      <c r="AK78" s="143"/>
      <c r="AL78" s="143"/>
      <c r="AM78" s="143"/>
      <c r="AO78" s="87">
        <f t="shared" si="23"/>
        <v>15.599999999999977</v>
      </c>
      <c r="AP78" s="126" t="str">
        <f t="shared" si="12"/>
        <v>0.0001-1.16435978835979i</v>
      </c>
      <c r="AQ78" s="105" t="str">
        <f t="shared" si="14"/>
        <v>0.000000001-0.00000000000000001i</v>
      </c>
      <c r="AR78" s="105" t="str">
        <f t="shared" si="13"/>
        <v>0.00858412698412699+13.3912380952381i</v>
      </c>
      <c r="AS78" s="93" t="str">
        <f t="shared" si="16"/>
        <v>9999999999+9999999i</v>
      </c>
      <c r="AU78" s="87" t="str">
        <f t="shared" si="15"/>
        <v>0.00858412798412699+13.3912380952381i</v>
      </c>
      <c r="AV78" s="87" t="str">
        <f t="shared" si="17"/>
        <v>-48071087.7284571+133912466780.261i</v>
      </c>
      <c r="AW78" s="87" t="str">
        <f t="shared" si="18"/>
        <v>9999999999.00858+10000012.3912381i</v>
      </c>
      <c r="AX78" s="87" t="str">
        <f t="shared" si="19"/>
        <v>0.00858414591660449+13.3912380951972i</v>
      </c>
      <c r="AY78" s="87" t="str">
        <f t="shared" si="20"/>
        <v>0.00868414591660449+12.2268783068374i</v>
      </c>
      <c r="AZ78" s="87">
        <f t="shared" si="21"/>
        <v>15.599999999999977</v>
      </c>
      <c r="BA78" s="87">
        <f t="shared" si="22"/>
        <v>12.226881390796317</v>
      </c>
    </row>
    <row r="79" spans="2:53" ht="18" x14ac:dyDescent="0.35">
      <c r="B79" s="91" t="s">
        <v>32</v>
      </c>
      <c r="D79" s="148">
        <v>0</v>
      </c>
      <c r="E79" s="98">
        <v>0</v>
      </c>
      <c r="F79" s="98">
        <v>0</v>
      </c>
      <c r="G79" s="98">
        <v>0</v>
      </c>
      <c r="H79" s="98">
        <v>0</v>
      </c>
      <c r="I79" s="98">
        <v>0</v>
      </c>
      <c r="J79" s="98">
        <v>0</v>
      </c>
      <c r="K79" s="98">
        <v>0</v>
      </c>
      <c r="Q79" s="143"/>
      <c r="R79" s="156" t="s">
        <v>57</v>
      </c>
      <c r="S79" s="156"/>
      <c r="T79" s="156">
        <f t="shared" ref="T79:AA79" si="28">D74^2</f>
        <v>19113525.254016414</v>
      </c>
      <c r="U79" s="156">
        <f t="shared" si="28"/>
        <v>0</v>
      </c>
      <c r="V79" s="156">
        <f t="shared" si="28"/>
        <v>0</v>
      </c>
      <c r="W79" s="156">
        <f t="shared" si="28"/>
        <v>0</v>
      </c>
      <c r="X79" s="156">
        <f t="shared" si="28"/>
        <v>47783.813135041048</v>
      </c>
      <c r="Y79" s="156">
        <f t="shared" si="28"/>
        <v>0</v>
      </c>
      <c r="Z79" s="156">
        <f t="shared" si="28"/>
        <v>0</v>
      </c>
      <c r="AA79" s="156">
        <f t="shared" si="28"/>
        <v>0</v>
      </c>
      <c r="AB79" s="156"/>
      <c r="AC79" s="156"/>
      <c r="AD79" s="156"/>
      <c r="AE79" s="156"/>
      <c r="AF79" s="156"/>
      <c r="AG79" s="156"/>
      <c r="AH79" s="156"/>
      <c r="AI79" s="156"/>
      <c r="AJ79" s="143"/>
      <c r="AK79" s="143"/>
      <c r="AL79" s="143"/>
      <c r="AM79" s="143"/>
      <c r="AO79" s="87">
        <f t="shared" si="23"/>
        <v>15.799999999999976</v>
      </c>
      <c r="AP79" s="126" t="str">
        <f t="shared" si="12"/>
        <v>0.0001-1.14962105686157i</v>
      </c>
      <c r="AQ79" s="105" t="str">
        <f t="shared" si="14"/>
        <v>0.000000001-0.00000000000000001i</v>
      </c>
      <c r="AR79" s="105" t="str">
        <f t="shared" si="13"/>
        <v>0.00858412698412699+13.5629206349206i</v>
      </c>
      <c r="AS79" s="93" t="str">
        <f t="shared" si="16"/>
        <v>9999999999+9999999i</v>
      </c>
      <c r="AU79" s="87" t="str">
        <f t="shared" si="15"/>
        <v>0.00858412798412699+13.5629206349206i</v>
      </c>
      <c r="AV79" s="87" t="str">
        <f t="shared" si="17"/>
        <v>-49787912.9535996+135629292176.914i</v>
      </c>
      <c r="AW79" s="87" t="str">
        <f t="shared" si="18"/>
        <v>9999999999.00858+10000012.5629206i</v>
      </c>
      <c r="AX79" s="87" t="str">
        <f t="shared" si="19"/>
        <v>0.00858414637935949+13.5629206348789i</v>
      </c>
      <c r="AY79" s="87" t="str">
        <f t="shared" si="20"/>
        <v>0.00868414637935949+12.4132995780173i</v>
      </c>
      <c r="AZ79" s="87">
        <f t="shared" si="21"/>
        <v>15.799999999999976</v>
      </c>
      <c r="BA79" s="87">
        <f t="shared" si="22"/>
        <v>12.413302615662072</v>
      </c>
    </row>
    <row r="80" spans="2:53" ht="18" x14ac:dyDescent="0.35">
      <c r="B80" s="91" t="s">
        <v>33</v>
      </c>
      <c r="D80" s="147">
        <f>($D$21/D78)*D79*0.5774</f>
        <v>0</v>
      </c>
      <c r="E80" s="147">
        <f t="shared" ref="E80:K80" si="29">($D$21/E78)*E79*0.5774</f>
        <v>0</v>
      </c>
      <c r="F80" s="147">
        <f t="shared" si="29"/>
        <v>0</v>
      </c>
      <c r="G80" s="147">
        <f t="shared" si="29"/>
        <v>0</v>
      </c>
      <c r="H80" s="147">
        <f t="shared" si="29"/>
        <v>0</v>
      </c>
      <c r="I80" s="147">
        <f t="shared" si="29"/>
        <v>0</v>
      </c>
      <c r="J80" s="147">
        <f t="shared" si="29"/>
        <v>0</v>
      </c>
      <c r="K80" s="147">
        <f t="shared" si="29"/>
        <v>0</v>
      </c>
      <c r="Q80" s="143"/>
      <c r="R80" s="156" t="s">
        <v>58</v>
      </c>
      <c r="S80" s="156"/>
      <c r="T80" s="156">
        <f t="shared" ref="T80:AA80" si="30">D73*D73</f>
        <v>19307.281671158227</v>
      </c>
      <c r="U80" s="156">
        <f t="shared" si="30"/>
        <v>0</v>
      </c>
      <c r="V80" s="156">
        <f t="shared" si="30"/>
        <v>0</v>
      </c>
      <c r="W80" s="156">
        <f t="shared" si="30"/>
        <v>0</v>
      </c>
      <c r="X80" s="156">
        <f t="shared" si="30"/>
        <v>1206.7051044473892</v>
      </c>
      <c r="Y80" s="156">
        <f t="shared" si="30"/>
        <v>0</v>
      </c>
      <c r="Z80" s="156">
        <f t="shared" si="30"/>
        <v>0</v>
      </c>
      <c r="AA80" s="156">
        <f t="shared" si="30"/>
        <v>0</v>
      </c>
      <c r="AB80" s="156"/>
      <c r="AC80" s="156"/>
      <c r="AD80" s="156"/>
      <c r="AE80" s="156"/>
      <c r="AF80" s="156"/>
      <c r="AG80" s="156"/>
      <c r="AH80" s="156"/>
      <c r="AI80" s="156"/>
      <c r="AJ80" s="143"/>
      <c r="AK80" s="143"/>
      <c r="AL80" s="143"/>
      <c r="AM80" s="143"/>
      <c r="AO80" s="87">
        <f t="shared" si="23"/>
        <v>15.999999999999975</v>
      </c>
      <c r="AP80" s="126" t="str">
        <f t="shared" si="12"/>
        <v>0.0001-1.1352507936508i</v>
      </c>
      <c r="AQ80" s="105" t="str">
        <f t="shared" si="14"/>
        <v>0.000000001-0.00000000000000001i</v>
      </c>
      <c r="AR80" s="105" t="str">
        <f t="shared" si="13"/>
        <v>0.00858412698412699+13.7346031746032i</v>
      </c>
      <c r="AS80" s="93" t="str">
        <f t="shared" si="16"/>
        <v>9999999999+9999999i</v>
      </c>
      <c r="AU80" s="87" t="str">
        <f t="shared" si="15"/>
        <v>0.00858412798412699+13.7346031746032i</v>
      </c>
      <c r="AV80" s="87" t="str">
        <f t="shared" si="17"/>
        <v>-51504738.1787431+137346117573.569i</v>
      </c>
      <c r="AW80" s="87" t="str">
        <f t="shared" si="18"/>
        <v>9999999999.00858+10000012.7346032i</v>
      </c>
      <c r="AX80" s="87" t="str">
        <f t="shared" si="19"/>
        <v>0.00858414684800969+13.7346031745608i</v>
      </c>
      <c r="AY80" s="87" t="str">
        <f t="shared" si="20"/>
        <v>0.00868414684800969+12.59935238091i</v>
      </c>
      <c r="AZ80" s="87">
        <f t="shared" si="21"/>
        <v>15.999999999999975</v>
      </c>
      <c r="BA80" s="87">
        <f t="shared" si="22"/>
        <v>12.599355373698646</v>
      </c>
    </row>
    <row r="81" spans="2:65" ht="18" x14ac:dyDescent="0.35">
      <c r="B81" s="91" t="s">
        <v>213</v>
      </c>
      <c r="D81" s="149">
        <f t="shared" ref="D81:K81" si="31">AB95</f>
        <v>0</v>
      </c>
      <c r="E81" s="149">
        <f t="shared" si="31"/>
        <v>0</v>
      </c>
      <c r="F81" s="149">
        <f t="shared" si="31"/>
        <v>0</v>
      </c>
      <c r="G81" s="149">
        <f t="shared" si="31"/>
        <v>0</v>
      </c>
      <c r="H81" s="149">
        <f t="shared" si="31"/>
        <v>0</v>
      </c>
      <c r="I81" s="149">
        <f t="shared" si="31"/>
        <v>0</v>
      </c>
      <c r="J81" s="149">
        <f t="shared" si="31"/>
        <v>0</v>
      </c>
      <c r="K81" s="149">
        <f t="shared" si="31"/>
        <v>0</v>
      </c>
      <c r="Q81" s="143"/>
      <c r="R81" s="156" t="s">
        <v>59</v>
      </c>
      <c r="S81" s="156"/>
      <c r="T81" s="156">
        <f t="shared" ref="T81:AA81" si="32">T80*$D$20/(T78*1000)</f>
        <v>350.69770944674883</v>
      </c>
      <c r="U81" s="156">
        <f t="shared" si="32"/>
        <v>0</v>
      </c>
      <c r="V81" s="156">
        <f t="shared" si="32"/>
        <v>0</v>
      </c>
      <c r="W81" s="156">
        <f t="shared" si="32"/>
        <v>0</v>
      </c>
      <c r="X81" s="156">
        <f t="shared" si="32"/>
        <v>4.3837213680843607</v>
      </c>
      <c r="Y81" s="156">
        <f t="shared" si="32"/>
        <v>0</v>
      </c>
      <c r="Z81" s="156">
        <f t="shared" si="32"/>
        <v>0</v>
      </c>
      <c r="AA81" s="156">
        <f t="shared" si="32"/>
        <v>0</v>
      </c>
      <c r="AB81" s="156"/>
      <c r="AC81" s="156"/>
      <c r="AD81" s="156"/>
      <c r="AE81" s="156"/>
      <c r="AF81" s="156"/>
      <c r="AG81" s="156"/>
      <c r="AH81" s="156"/>
      <c r="AI81" s="156"/>
      <c r="AJ81" s="143"/>
      <c r="AK81" s="143"/>
      <c r="AL81" s="143"/>
      <c r="AM81" s="143"/>
      <c r="AO81" s="87">
        <f t="shared" si="23"/>
        <v>16.199999999999974</v>
      </c>
      <c r="AP81" s="126" t="str">
        <f t="shared" si="12"/>
        <v>0.0001-1.12123535175387i</v>
      </c>
      <c r="AQ81" s="105" t="str">
        <f t="shared" si="14"/>
        <v>0.000000001-0.00000000000000001i</v>
      </c>
      <c r="AR81" s="105" t="str">
        <f t="shared" si="13"/>
        <v>0.00858412698412699+13.9062857142857i</v>
      </c>
      <c r="AS81" s="93" t="str">
        <f t="shared" si="16"/>
        <v>9999999999+9999999i</v>
      </c>
      <c r="AU81" s="87" t="str">
        <f t="shared" si="15"/>
        <v>0.00858412798412699+13.9062857142857i</v>
      </c>
      <c r="AV81" s="87" t="str">
        <f t="shared" si="17"/>
        <v>-53221563.4038855+139062942970.222i</v>
      </c>
      <c r="AW81" s="87" t="str">
        <f t="shared" si="18"/>
        <v>9999999999.00858+10000012.9062857i</v>
      </c>
      <c r="AX81" s="87" t="str">
        <f t="shared" si="19"/>
        <v>0.00858414732255464+13.9062857142425i</v>
      </c>
      <c r="AY81" s="87" t="str">
        <f t="shared" si="20"/>
        <v>0.00868414732255464+12.7850503624886i</v>
      </c>
      <c r="AZ81" s="87">
        <f t="shared" si="21"/>
        <v>16.199999999999974</v>
      </c>
      <c r="BA81" s="87">
        <f t="shared" si="22"/>
        <v>12.785053311808465</v>
      </c>
    </row>
    <row r="82" spans="2:65" ht="18" x14ac:dyDescent="0.35">
      <c r="B82" s="91" t="s">
        <v>214</v>
      </c>
      <c r="D82" s="89">
        <f>0.5774*D79</f>
        <v>0</v>
      </c>
      <c r="E82" s="89">
        <f t="shared" ref="E82:K82" si="33">0.5774*E79</f>
        <v>0</v>
      </c>
      <c r="F82" s="89">
        <f t="shared" si="33"/>
        <v>0</v>
      </c>
      <c r="G82" s="89">
        <f t="shared" si="33"/>
        <v>0</v>
      </c>
      <c r="H82" s="89">
        <f t="shared" si="33"/>
        <v>0</v>
      </c>
      <c r="I82" s="89">
        <f t="shared" si="33"/>
        <v>0</v>
      </c>
      <c r="J82" s="89">
        <f t="shared" si="33"/>
        <v>0</v>
      </c>
      <c r="K82" s="89">
        <f t="shared" si="33"/>
        <v>0</v>
      </c>
      <c r="Q82" s="143"/>
      <c r="R82" s="156"/>
      <c r="S82" s="156"/>
      <c r="T82" s="156"/>
      <c r="U82" s="156"/>
      <c r="V82" s="156"/>
      <c r="W82" s="156"/>
      <c r="X82" s="156"/>
      <c r="Y82" s="156"/>
      <c r="Z82" s="156"/>
      <c r="AA82" s="156"/>
      <c r="AB82" s="156"/>
      <c r="AC82" s="156"/>
      <c r="AD82" s="156"/>
      <c r="AE82" s="156"/>
      <c r="AF82" s="156"/>
      <c r="AG82" s="156"/>
      <c r="AH82" s="156"/>
      <c r="AI82" s="156"/>
      <c r="AJ82" s="143"/>
      <c r="AK82" s="143"/>
      <c r="AL82" s="143"/>
      <c r="AM82" s="143"/>
      <c r="AO82" s="87">
        <f t="shared" si="23"/>
        <v>16.399999999999974</v>
      </c>
      <c r="AP82" s="126" t="str">
        <f t="shared" si="12"/>
        <v>0.0001-1.10756174990322i</v>
      </c>
      <c r="AQ82" s="105" t="str">
        <f t="shared" si="14"/>
        <v>0.000000001-0.00000000000000001i</v>
      </c>
      <c r="AR82" s="105" t="str">
        <f t="shared" si="13"/>
        <v>0.00858412698412699+14.0779682539682i</v>
      </c>
      <c r="AS82" s="93" t="str">
        <f t="shared" si="16"/>
        <v>9999999999+9999999i</v>
      </c>
      <c r="AU82" s="87" t="str">
        <f t="shared" si="15"/>
        <v>0.00858412798412699+14.0779682539682i</v>
      </c>
      <c r="AV82" s="87" t="str">
        <f t="shared" si="17"/>
        <v>-54938388.629028+140779768366.875i</v>
      </c>
      <c r="AW82" s="87" t="str">
        <f t="shared" si="18"/>
        <v>9999999999.00858+10000013.0779683i</v>
      </c>
      <c r="AX82" s="87" t="str">
        <f t="shared" si="19"/>
        <v>0.00858414780299469+14.0779682539242i</v>
      </c>
      <c r="AY82" s="87" t="str">
        <f t="shared" si="20"/>
        <v>0.00868414780299469+12.970406504021i</v>
      </c>
      <c r="AZ82" s="87">
        <f t="shared" si="21"/>
        <v>16.399999999999974</v>
      </c>
      <c r="BA82" s="87">
        <f t="shared" si="22"/>
        <v>12.97040941119336</v>
      </c>
    </row>
    <row r="83" spans="2:65" x14ac:dyDescent="0.25">
      <c r="H83" s="102" t="s">
        <v>0</v>
      </c>
      <c r="Q83" s="143"/>
      <c r="R83" s="156"/>
      <c r="S83" s="156"/>
      <c r="T83" s="156"/>
      <c r="U83" s="156"/>
      <c r="V83" s="156"/>
      <c r="W83" s="156"/>
      <c r="X83" s="156"/>
      <c r="Y83" s="156"/>
      <c r="Z83" s="156"/>
      <c r="AA83" s="156"/>
      <c r="AB83" s="156"/>
      <c r="AC83" s="156"/>
      <c r="AD83" s="156"/>
      <c r="AE83" s="156"/>
      <c r="AF83" s="156"/>
      <c r="AG83" s="156"/>
      <c r="AH83" s="156"/>
      <c r="AI83" s="156"/>
      <c r="AJ83" s="143"/>
      <c r="AK83" s="143"/>
      <c r="AL83" s="143"/>
      <c r="AM83" s="143"/>
      <c r="AO83" s="87">
        <f t="shared" si="23"/>
        <v>16.599999999999973</v>
      </c>
      <c r="AP83" s="126" t="str">
        <f t="shared" si="12"/>
        <v>0.0001-1.0942176324345i</v>
      </c>
      <c r="AQ83" s="105" t="str">
        <f t="shared" si="14"/>
        <v>0.000000001-0.00000000000000001i</v>
      </c>
      <c r="AR83" s="105" t="str">
        <f t="shared" si="13"/>
        <v>0.00858412698412699+14.2496507936508i</v>
      </c>
      <c r="AS83" s="93" t="str">
        <f t="shared" si="16"/>
        <v>9999999999+9999999i</v>
      </c>
      <c r="AU83" s="87" t="str">
        <f t="shared" si="15"/>
        <v>0.00858412798412699+14.2496507936508i</v>
      </c>
      <c r="AV83" s="87" t="str">
        <f t="shared" si="17"/>
        <v>-56655213.8541714+142496593763.53i</v>
      </c>
      <c r="AW83" s="87" t="str">
        <f t="shared" si="18"/>
        <v>9999999999.00858+10000013.2496508i</v>
      </c>
      <c r="AX83" s="87" t="str">
        <f t="shared" si="19"/>
        <v>0.00858414828932969+14.2496507936061i</v>
      </c>
      <c r="AY83" s="87" t="str">
        <f t="shared" si="20"/>
        <v>0.00868414828932969+13.1554331611716i</v>
      </c>
      <c r="AZ83" s="87">
        <f t="shared" si="21"/>
        <v>16.599999999999973</v>
      </c>
      <c r="BA83" s="87">
        <f t="shared" si="22"/>
        <v>13.155436027455911</v>
      </c>
    </row>
    <row r="84" spans="2:65" ht="21" x14ac:dyDescent="0.35">
      <c r="B84" s="117" t="s">
        <v>138</v>
      </c>
      <c r="C84" s="115"/>
      <c r="D84" s="115"/>
      <c r="E84" s="115"/>
      <c r="F84" s="115"/>
      <c r="G84" s="96"/>
      <c r="H84" s="96"/>
      <c r="I84" s="96"/>
      <c r="J84" s="96"/>
      <c r="K84" s="96"/>
      <c r="L84" s="96"/>
      <c r="Q84" s="143"/>
      <c r="R84" s="156"/>
      <c r="S84" s="156"/>
      <c r="T84" s="156">
        <f t="shared" ref="T84:AA84" si="34">D78</f>
        <v>17</v>
      </c>
      <c r="U84" s="156">
        <f t="shared" si="34"/>
        <v>19</v>
      </c>
      <c r="V84" s="156">
        <f t="shared" si="34"/>
        <v>23</v>
      </c>
      <c r="W84" s="156">
        <f t="shared" si="34"/>
        <v>25</v>
      </c>
      <c r="X84" s="156">
        <f t="shared" si="34"/>
        <v>29</v>
      </c>
      <c r="Y84" s="156">
        <f t="shared" si="34"/>
        <v>31</v>
      </c>
      <c r="Z84" s="156">
        <f t="shared" si="34"/>
        <v>35</v>
      </c>
      <c r="AA84" s="156">
        <f t="shared" si="34"/>
        <v>37</v>
      </c>
      <c r="AB84" s="156"/>
      <c r="AC84" s="156"/>
      <c r="AD84" s="156"/>
      <c r="AE84" s="156"/>
      <c r="AF84" s="156"/>
      <c r="AG84" s="156"/>
      <c r="AH84" s="156"/>
      <c r="AI84" s="156"/>
      <c r="AJ84" s="143"/>
      <c r="AK84" s="143"/>
      <c r="AL84" s="143"/>
      <c r="AM84" s="143"/>
      <c r="AO84" s="87">
        <f t="shared" si="23"/>
        <v>16.799999999999972</v>
      </c>
      <c r="AP84" s="126" t="str">
        <f t="shared" si="12"/>
        <v>0.0001-1.08119123204838i</v>
      </c>
      <c r="AQ84" s="105" t="str">
        <f t="shared" si="14"/>
        <v>0.000000001-0.00000000000000001i</v>
      </c>
      <c r="AR84" s="105" t="str">
        <f t="shared" si="13"/>
        <v>0.00858412698412699+14.4213333333333i</v>
      </c>
      <c r="AS84" s="93" t="str">
        <f t="shared" si="16"/>
        <v>9999999999+9999999i</v>
      </c>
      <c r="AU84" s="87" t="str">
        <f t="shared" si="15"/>
        <v>0.00858412798412699+14.4213333333333i</v>
      </c>
      <c r="AV84" s="87" t="str">
        <f t="shared" si="17"/>
        <v>-58372039.0793139+144213419160.183i</v>
      </c>
      <c r="AW84" s="87" t="str">
        <f t="shared" si="18"/>
        <v>9999999999.00858+10000013.4213333i</v>
      </c>
      <c r="AX84" s="87" t="str">
        <f t="shared" si="19"/>
        <v>0.00858414878155955+14.4213333332878i</v>
      </c>
      <c r="AY84" s="87" t="str">
        <f t="shared" si="20"/>
        <v>0.00868414878155955+13.3401421012394i</v>
      </c>
      <c r="AZ84" s="87">
        <f t="shared" si="21"/>
        <v>16.799999999999972</v>
      </c>
      <c r="BA84" s="87">
        <f t="shared" si="22"/>
        <v>13.340144927837176</v>
      </c>
    </row>
    <row r="85" spans="2:65" x14ac:dyDescent="0.25">
      <c r="D85" s="189" t="str">
        <f>"Fundamental amps "&amp;ROUND(D73,1)&amp;" amps/phase"</f>
        <v>Fundamental amps 139 amps/phase</v>
      </c>
      <c r="H85" s="143"/>
      <c r="I85" s="201"/>
      <c r="J85" s="150" t="s">
        <v>242</v>
      </c>
      <c r="K85" s="98">
        <v>1.35</v>
      </c>
      <c r="Q85" s="143"/>
      <c r="R85" s="156" t="s">
        <v>57</v>
      </c>
      <c r="S85" s="156"/>
      <c r="T85" s="156">
        <f t="shared" ref="T85:AA85" si="35">D80^2</f>
        <v>0</v>
      </c>
      <c r="U85" s="156">
        <f t="shared" si="35"/>
        <v>0</v>
      </c>
      <c r="V85" s="156">
        <f t="shared" si="35"/>
        <v>0</v>
      </c>
      <c r="W85" s="156">
        <f t="shared" si="35"/>
        <v>0</v>
      </c>
      <c r="X85" s="156">
        <f t="shared" si="35"/>
        <v>0</v>
      </c>
      <c r="Y85" s="156">
        <f t="shared" si="35"/>
        <v>0</v>
      </c>
      <c r="Z85" s="156">
        <f t="shared" si="35"/>
        <v>0</v>
      </c>
      <c r="AA85" s="156">
        <f t="shared" si="35"/>
        <v>0</v>
      </c>
      <c r="AB85" s="156"/>
      <c r="AC85" s="156"/>
      <c r="AD85" s="156"/>
      <c r="AE85" s="156"/>
      <c r="AF85" s="156"/>
      <c r="AG85" s="156"/>
      <c r="AH85" s="156"/>
      <c r="AI85" s="156"/>
      <c r="AJ85" s="143"/>
      <c r="AK85" s="143"/>
      <c r="AL85" s="143"/>
      <c r="AM85" s="143"/>
      <c r="AO85" s="87">
        <f t="shared" si="23"/>
        <v>16.999999999999972</v>
      </c>
      <c r="AP85" s="126" t="str">
        <f t="shared" si="12"/>
        <v>0.0001-1.06847133520075i</v>
      </c>
      <c r="AQ85" s="105" t="str">
        <f t="shared" si="14"/>
        <v>0.000000001-0.00000000000000001i</v>
      </c>
      <c r="AR85" s="105" t="str">
        <f t="shared" si="13"/>
        <v>0.00858412698412699+14.5930158730159i</v>
      </c>
      <c r="AS85" s="93" t="str">
        <f t="shared" si="16"/>
        <v>9999999999+9999999i</v>
      </c>
      <c r="AU85" s="87" t="str">
        <f t="shared" si="15"/>
        <v>0.00858412798412699+14.5930158730159i</v>
      </c>
      <c r="AV85" s="87" t="str">
        <f t="shared" si="17"/>
        <v>-60088864.3044574+145930244556.837i</v>
      </c>
      <c r="AW85" s="87" t="str">
        <f t="shared" si="18"/>
        <v>9999999999.00858+10000013.5930159i</v>
      </c>
      <c r="AX85" s="87" t="str">
        <f t="shared" si="19"/>
        <v>0.00858414927968452+14.5930158729695i</v>
      </c>
      <c r="AY85" s="87" t="str">
        <f t="shared" si="20"/>
        <v>0.00868414927968452+13.5245445377688i</v>
      </c>
      <c r="AZ85" s="87">
        <f t="shared" si="21"/>
        <v>16.999999999999972</v>
      </c>
      <c r="BA85" s="87">
        <f t="shared" si="22"/>
        <v>13.524547325827236</v>
      </c>
    </row>
    <row r="86" spans="2:65" x14ac:dyDescent="0.25">
      <c r="D86" s="189" t="str">
        <f>"RMS AMPS "&amp;ROUND(AM99,2)&amp;" amps/phase"</f>
        <v>RMS AMPS 143.23 amps/phase</v>
      </c>
      <c r="H86" s="143"/>
      <c r="I86" s="143"/>
      <c r="J86" s="150" t="s">
        <v>243</v>
      </c>
      <c r="K86" s="98">
        <v>1</v>
      </c>
      <c r="Q86" s="143"/>
      <c r="R86" s="156" t="s">
        <v>58</v>
      </c>
      <c r="S86" s="156"/>
      <c r="T86" s="156">
        <f t="shared" ref="T86:AA86" si="36">D79*D79</f>
        <v>0</v>
      </c>
      <c r="U86" s="156">
        <f t="shared" si="36"/>
        <v>0</v>
      </c>
      <c r="V86" s="156">
        <f t="shared" si="36"/>
        <v>0</v>
      </c>
      <c r="W86" s="156">
        <f t="shared" si="36"/>
        <v>0</v>
      </c>
      <c r="X86" s="156">
        <f t="shared" si="36"/>
        <v>0</v>
      </c>
      <c r="Y86" s="156">
        <f t="shared" si="36"/>
        <v>0</v>
      </c>
      <c r="Z86" s="156">
        <f t="shared" si="36"/>
        <v>0</v>
      </c>
      <c r="AA86" s="156">
        <f t="shared" si="36"/>
        <v>0</v>
      </c>
      <c r="AB86" s="156"/>
      <c r="AC86" s="156"/>
      <c r="AD86" s="156"/>
      <c r="AE86" s="156"/>
      <c r="AF86" s="156"/>
      <c r="AG86" s="156"/>
      <c r="AH86" s="156"/>
      <c r="AI86" s="156"/>
      <c r="AJ86" s="143"/>
      <c r="AK86" s="143"/>
      <c r="AL86" s="143"/>
      <c r="AM86" s="143"/>
      <c r="AO86" s="87">
        <f t="shared" si="23"/>
        <v>17.199999999999971</v>
      </c>
      <c r="AP86" s="126" t="str">
        <f t="shared" si="12"/>
        <v>0.0001-1.05604724990772i</v>
      </c>
      <c r="AQ86" s="105" t="str">
        <f t="shared" si="14"/>
        <v>0.000000001-0.00000000000000001i</v>
      </c>
      <c r="AR86" s="105" t="str">
        <f t="shared" si="13"/>
        <v>0.00858412698412699+14.7646984126984i</v>
      </c>
      <c r="AS86" s="93" t="str">
        <f t="shared" si="16"/>
        <v>9999999999+9999999i</v>
      </c>
      <c r="AU86" s="87" t="str">
        <f t="shared" si="15"/>
        <v>0.00858412798412699+14.7646984126984i</v>
      </c>
      <c r="AV86" s="87" t="str">
        <f t="shared" si="17"/>
        <v>-61805689.5295998+147647069953.491i</v>
      </c>
      <c r="AW86" s="87" t="str">
        <f t="shared" si="18"/>
        <v>9999999999.00858+10000013.7646984i</v>
      </c>
      <c r="AX86" s="87" t="str">
        <f t="shared" si="19"/>
        <v>0.00858414978370443+14.7646984126513i</v>
      </c>
      <c r="AY86" s="87" t="str">
        <f t="shared" si="20"/>
        <v>0.00868414978370443+13.7086511627436i</v>
      </c>
      <c r="AZ86" s="87">
        <f t="shared" si="21"/>
        <v>17.199999999999971</v>
      </c>
      <c r="BA86" s="87">
        <f t="shared" si="22"/>
        <v>13.70865391335885</v>
      </c>
    </row>
    <row r="87" spans="2:65" x14ac:dyDescent="0.25">
      <c r="B87" s="143"/>
      <c r="C87" s="143"/>
      <c r="D87" s="143"/>
      <c r="E87" s="143"/>
      <c r="G87" s="143"/>
      <c r="Q87" s="143"/>
      <c r="R87" s="156" t="s">
        <v>59</v>
      </c>
      <c r="S87" s="156"/>
      <c r="T87" s="156">
        <f t="shared" ref="T87:AA87" si="37">T86*$D$20/(T84*1000)</f>
        <v>0</v>
      </c>
      <c r="U87" s="156">
        <f t="shared" si="37"/>
        <v>0</v>
      </c>
      <c r="V87" s="156">
        <f t="shared" si="37"/>
        <v>0</v>
      </c>
      <c r="W87" s="156">
        <f t="shared" si="37"/>
        <v>0</v>
      </c>
      <c r="X87" s="156">
        <f t="shared" si="37"/>
        <v>0</v>
      </c>
      <c r="Y87" s="156">
        <f t="shared" si="37"/>
        <v>0</v>
      </c>
      <c r="Z87" s="156">
        <f t="shared" si="37"/>
        <v>0</v>
      </c>
      <c r="AA87" s="156">
        <f t="shared" si="37"/>
        <v>0</v>
      </c>
      <c r="AB87" s="156"/>
      <c r="AC87" s="156"/>
      <c r="AD87" s="156"/>
      <c r="AE87" s="156"/>
      <c r="AF87" s="156"/>
      <c r="AG87" s="156"/>
      <c r="AH87" s="156"/>
      <c r="AI87" s="156"/>
      <c r="AJ87" s="143"/>
      <c r="AK87" s="143"/>
      <c r="AL87" s="143"/>
      <c r="AM87" s="143"/>
      <c r="AO87" s="87">
        <f t="shared" si="23"/>
        <v>17.39999999999997</v>
      </c>
      <c r="AP87" s="126" t="str">
        <f t="shared" si="12"/>
        <v>0.0001-1.04390877577085i</v>
      </c>
      <c r="AQ87" s="105" t="str">
        <f t="shared" si="14"/>
        <v>0.000000001-0.00000000000000001i</v>
      </c>
      <c r="AR87" s="105" t="str">
        <f t="shared" si="13"/>
        <v>0.00858412698412699+14.9363809523809i</v>
      </c>
      <c r="AS87" s="93" t="str">
        <f t="shared" si="16"/>
        <v>9999999999+9999999i</v>
      </c>
      <c r="AU87" s="87" t="str">
        <f t="shared" si="15"/>
        <v>0.00858412798412699+14.9363809523809i</v>
      </c>
      <c r="AV87" s="87" t="str">
        <f t="shared" si="17"/>
        <v>-63522514.7547423+149363895350.144i</v>
      </c>
      <c r="AW87" s="87" t="str">
        <f t="shared" si="18"/>
        <v>9999999999.00858+10000013.936381i</v>
      </c>
      <c r="AX87" s="87" t="str">
        <f t="shared" si="19"/>
        <v>0.00858415029361936+14.936380952333i</v>
      </c>
      <c r="AY87" s="87" t="str">
        <f t="shared" si="20"/>
        <v>0.00868415029361936+13.8924721765621i</v>
      </c>
      <c r="AZ87" s="87">
        <f t="shared" si="21"/>
        <v>17.39999999999997</v>
      </c>
      <c r="BA87" s="87">
        <f t="shared" si="22"/>
        <v>13.892474890782362</v>
      </c>
    </row>
    <row r="88" spans="2:65" x14ac:dyDescent="0.25">
      <c r="B88" s="143"/>
      <c r="C88" s="143"/>
      <c r="D88" s="143"/>
      <c r="E88" s="143"/>
      <c r="G88" s="143"/>
      <c r="H88" s="307" t="str">
        <f>"Reference: Notch Filter Design - Stage/Branch: "&amp;I9&amp;", Tuning Point: "&amp;FIXED(D10,2)&amp;", Reference: "&amp;I8</f>
        <v>Reference: Notch Filter Design - Stage/Branch: Branch/Stage #, Tuning Point: 4.60, Reference: Enter Job Name</v>
      </c>
      <c r="I88" s="307"/>
      <c r="J88" s="307"/>
      <c r="K88" s="307"/>
      <c r="L88" s="307"/>
      <c r="Q88" s="143"/>
      <c r="R88" s="156"/>
      <c r="S88" s="156"/>
      <c r="T88" s="156"/>
      <c r="U88" s="156"/>
      <c r="V88" s="156"/>
      <c r="W88" s="156"/>
      <c r="X88" s="156"/>
      <c r="Y88" s="156"/>
      <c r="Z88" s="156"/>
      <c r="AA88" s="156"/>
      <c r="AB88" s="156"/>
      <c r="AC88" s="156"/>
      <c r="AD88" s="156"/>
      <c r="AE88" s="156"/>
      <c r="AF88" s="156"/>
      <c r="AG88" s="156"/>
      <c r="AH88" s="156"/>
      <c r="AI88" s="156"/>
      <c r="AJ88" s="143"/>
      <c r="AK88" s="143"/>
      <c r="AL88" s="143"/>
      <c r="AM88" s="143"/>
      <c r="AO88" s="87">
        <f t="shared" si="23"/>
        <v>17.599999999999969</v>
      </c>
      <c r="AP88" s="126" t="str">
        <f t="shared" si="12"/>
        <v>0.0001-1.03204617604618i</v>
      </c>
      <c r="AQ88" s="105" t="str">
        <f t="shared" si="14"/>
        <v>0.000000001-0.00000000000000001i</v>
      </c>
      <c r="AR88" s="105" t="str">
        <f t="shared" si="13"/>
        <v>0.00858412698412699+15.1080634920635i</v>
      </c>
      <c r="AS88" s="93" t="str">
        <f t="shared" si="16"/>
        <v>9999999999+9999999i</v>
      </c>
      <c r="AU88" s="87" t="str">
        <f t="shared" si="15"/>
        <v>0.00858412798412699+15.1080634920635i</v>
      </c>
      <c r="AV88" s="87" t="str">
        <f t="shared" si="17"/>
        <v>-65239339.9798858+151080720746.798i</v>
      </c>
      <c r="AW88" s="87" t="str">
        <f t="shared" si="18"/>
        <v>9999999999.00858+10000014.1080635i</v>
      </c>
      <c r="AX88" s="87" t="str">
        <f t="shared" si="19"/>
        <v>0.00858415080942911+15.1080634920147i</v>
      </c>
      <c r="AY88" s="87" t="str">
        <f t="shared" si="20"/>
        <v>0.00868415080942911+14.0760173159685i</v>
      </c>
      <c r="AZ88" s="87">
        <f t="shared" si="21"/>
        <v>17.599999999999969</v>
      </c>
      <c r="BA88" s="87">
        <f t="shared" si="22"/>
        <v>14.076019994796836</v>
      </c>
    </row>
    <row r="89" spans="2:65" x14ac:dyDescent="0.25">
      <c r="B89" s="143"/>
      <c r="C89" s="143"/>
      <c r="D89" s="150" t="s">
        <v>0</v>
      </c>
      <c r="G89" s="143"/>
      <c r="H89" s="308"/>
      <c r="I89" s="308"/>
      <c r="J89" s="308"/>
      <c r="K89" s="308"/>
      <c r="L89" s="308"/>
      <c r="Q89" s="143"/>
      <c r="R89" s="156"/>
      <c r="S89" s="156"/>
      <c r="T89" s="156"/>
      <c r="U89" s="156"/>
      <c r="V89" s="156"/>
      <c r="W89" s="156"/>
      <c r="X89" s="156"/>
      <c r="Y89" s="156"/>
      <c r="Z89" s="156"/>
      <c r="AA89" s="156"/>
      <c r="AB89" s="156"/>
      <c r="AC89" s="156"/>
      <c r="AD89" s="156"/>
      <c r="AE89" s="156"/>
      <c r="AF89" s="156"/>
      <c r="AG89" s="156"/>
      <c r="AH89" s="156"/>
      <c r="AI89" s="156"/>
      <c r="AJ89" s="143"/>
      <c r="AK89" s="143"/>
      <c r="AL89" s="143"/>
      <c r="AM89" s="143"/>
      <c r="AO89" s="87">
        <f t="shared" si="23"/>
        <v>17.799999999999969</v>
      </c>
      <c r="AP89" s="126" t="str">
        <f t="shared" si="12"/>
        <v>0.0001-1.02045015159622i</v>
      </c>
      <c r="AQ89" s="105" t="str">
        <f t="shared" si="14"/>
        <v>0.000000001-0.00000000000000001i</v>
      </c>
      <c r="AR89" s="105" t="str">
        <f t="shared" si="13"/>
        <v>0.00858412698412699+15.279746031746i</v>
      </c>
      <c r="AS89" s="93" t="str">
        <f t="shared" si="16"/>
        <v>9999999999+9999999i</v>
      </c>
      <c r="AU89" s="87" t="str">
        <f t="shared" si="15"/>
        <v>0.00858412798412699+15.279746031746i</v>
      </c>
      <c r="AV89" s="87" t="str">
        <f t="shared" si="17"/>
        <v>-66956165.2050282+152797546143.452i</v>
      </c>
      <c r="AW89" s="87" t="str">
        <f t="shared" si="18"/>
        <v>9999999999.00858+10000014.279746i</v>
      </c>
      <c r="AX89" s="87" t="str">
        <f t="shared" si="19"/>
        <v>0.00858415133113393+15.2797460316965i</v>
      </c>
      <c r="AY89" s="87" t="str">
        <f t="shared" si="20"/>
        <v>0.00868415133113393+14.2592958801003i</v>
      </c>
      <c r="AZ89" s="87">
        <f t="shared" si="21"/>
        <v>17.799999999999969</v>
      </c>
      <c r="BA89" s="87">
        <f t="shared" si="22"/>
        <v>14.259298524497261</v>
      </c>
    </row>
    <row r="90" spans="2:65" x14ac:dyDescent="0.25">
      <c r="B90" s="143"/>
      <c r="C90" s="143"/>
      <c r="D90" s="150" t="s">
        <v>0</v>
      </c>
      <c r="G90" s="143"/>
      <c r="H90" s="309" t="s">
        <v>240</v>
      </c>
      <c r="I90" s="309"/>
      <c r="J90" s="212"/>
      <c r="K90" s="310" t="s">
        <v>241</v>
      </c>
      <c r="L90" s="310"/>
      <c r="Q90" s="143"/>
      <c r="R90" s="156" t="s">
        <v>0</v>
      </c>
      <c r="S90" s="156"/>
      <c r="T90" s="157" t="s">
        <v>0</v>
      </c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6"/>
      <c r="AF90" s="156"/>
      <c r="AG90" s="156"/>
      <c r="AH90" s="156"/>
      <c r="AI90" s="156"/>
      <c r="AJ90" s="143"/>
      <c r="AK90" s="143"/>
      <c r="AL90" s="143"/>
      <c r="AM90" s="143"/>
      <c r="AO90" s="87">
        <f t="shared" si="23"/>
        <v>17.999999999999968</v>
      </c>
      <c r="AP90" s="126" t="str">
        <f t="shared" si="12"/>
        <v>0.0001-1.00911181657849i</v>
      </c>
      <c r="AQ90" s="105" t="str">
        <f t="shared" si="14"/>
        <v>0.000000001-0.00000000000000001i</v>
      </c>
      <c r="AR90" s="105" t="str">
        <f t="shared" si="13"/>
        <v>0.00858412698412699+15.4514285714286i</v>
      </c>
      <c r="AS90" s="93" t="str">
        <f t="shared" si="16"/>
        <v>9999999999+9999999i</v>
      </c>
      <c r="AU90" s="87" t="str">
        <f t="shared" si="15"/>
        <v>0.00858412798412699+15.4514285714286i</v>
      </c>
      <c r="AV90" s="87" t="str">
        <f t="shared" si="17"/>
        <v>-68672990.4301717+154514371540.106i</v>
      </c>
      <c r="AW90" s="87" t="str">
        <f t="shared" si="18"/>
        <v>9999999999.00858+10000014.4514286i</v>
      </c>
      <c r="AX90" s="87" t="str">
        <f t="shared" si="19"/>
        <v>0.00858415185873378+15.4514285713782i</v>
      </c>
      <c r="AY90" s="87" t="str">
        <f t="shared" si="20"/>
        <v>0.00868415185873378+14.4423167547997i</v>
      </c>
      <c r="AZ90" s="87">
        <f t="shared" si="21"/>
        <v>17.999999999999968</v>
      </c>
      <c r="BA90" s="87">
        <f t="shared" si="22"/>
        <v>14.442319365685748</v>
      </c>
    </row>
    <row r="91" spans="2:65" x14ac:dyDescent="0.25">
      <c r="B91" s="143"/>
      <c r="C91" s="143"/>
      <c r="D91" s="150" t="s">
        <v>0</v>
      </c>
      <c r="E91" s="143"/>
      <c r="G91" s="143"/>
      <c r="H91" s="215" t="s">
        <v>225</v>
      </c>
      <c r="I91" s="211" t="s">
        <v>215</v>
      </c>
      <c r="J91" s="143"/>
      <c r="K91" s="51" t="s">
        <v>248</v>
      </c>
      <c r="L91" s="98">
        <v>1</v>
      </c>
      <c r="Q91" s="143"/>
      <c r="R91" s="156"/>
      <c r="S91" s="156"/>
      <c r="T91" s="156"/>
      <c r="U91" s="156"/>
      <c r="V91" s="156"/>
      <c r="W91" s="156"/>
      <c r="X91" s="156"/>
      <c r="Y91" s="156"/>
      <c r="Z91" s="156"/>
      <c r="AA91" s="156"/>
      <c r="AB91" s="156"/>
      <c r="AC91" s="156"/>
      <c r="AD91" s="156"/>
      <c r="AE91" s="156"/>
      <c r="AF91" s="156"/>
      <c r="AG91" s="156"/>
      <c r="AH91" s="156"/>
      <c r="AI91" s="156"/>
      <c r="AJ91" s="143"/>
      <c r="AK91" s="143"/>
      <c r="AL91" s="143"/>
      <c r="AM91" s="143"/>
      <c r="AO91" s="87">
        <f t="shared" si="23"/>
        <v>18.199999999999967</v>
      </c>
      <c r="AP91" s="126" t="str">
        <f t="shared" si="12"/>
        <v>0.0001-0.998022675736963i</v>
      </c>
      <c r="AQ91" s="105" t="str">
        <f t="shared" si="14"/>
        <v>0.000000001-0.00000000000000001i</v>
      </c>
      <c r="AR91" s="105" t="str">
        <f t="shared" si="13"/>
        <v>0.00858412698412699+15.6231111111111i</v>
      </c>
      <c r="AS91" s="93" t="str">
        <f t="shared" si="16"/>
        <v>9999999999+9999999i</v>
      </c>
      <c r="AU91" s="87" t="str">
        <f t="shared" si="15"/>
        <v>0.00858412798412699+15.6231111111111i</v>
      </c>
      <c r="AV91" s="87" t="str">
        <f t="shared" si="17"/>
        <v>-70389815.6553141+156231196936.759i</v>
      </c>
      <c r="AW91" s="87" t="str">
        <f t="shared" si="18"/>
        <v>9999999999.00858+10000014.6231111i</v>
      </c>
      <c r="AX91" s="87" t="str">
        <f t="shared" si="19"/>
        <v>0.00858415239222846+15.6231111110599i</v>
      </c>
      <c r="AY91" s="87" t="str">
        <f t="shared" si="20"/>
        <v>0.00868415239222846+14.6250884353229i</v>
      </c>
      <c r="AZ91" s="87">
        <f t="shared" si="21"/>
        <v>18.199999999999967</v>
      </c>
      <c r="BA91" s="87">
        <f t="shared" si="22"/>
        <v>14.625091013580681</v>
      </c>
    </row>
    <row r="92" spans="2:65" x14ac:dyDescent="0.25">
      <c r="B92" s="143" t="s">
        <v>0</v>
      </c>
      <c r="C92" s="143"/>
      <c r="D92" s="150" t="s">
        <v>0</v>
      </c>
      <c r="E92" s="143"/>
      <c r="G92" s="143"/>
      <c r="H92" s="138">
        <f>D72</f>
        <v>1</v>
      </c>
      <c r="I92" s="188">
        <f>D76*K85</f>
        <v>108.31063806136062</v>
      </c>
      <c r="J92" s="143"/>
      <c r="K92" s="150" t="s">
        <v>229</v>
      </c>
      <c r="L92" s="98">
        <v>3</v>
      </c>
      <c r="Q92" s="143"/>
      <c r="R92" s="156" t="s">
        <v>64</v>
      </c>
      <c r="S92" s="156"/>
      <c r="T92" s="156">
        <f t="shared" ref="T92:AA93" si="38">D72</f>
        <v>1</v>
      </c>
      <c r="U92" s="156">
        <f t="shared" si="38"/>
        <v>2</v>
      </c>
      <c r="V92" s="156">
        <f t="shared" si="38"/>
        <v>3</v>
      </c>
      <c r="W92" s="156">
        <f t="shared" si="38"/>
        <v>4</v>
      </c>
      <c r="X92" s="156">
        <f t="shared" si="38"/>
        <v>5</v>
      </c>
      <c r="Y92" s="156">
        <f t="shared" si="38"/>
        <v>7</v>
      </c>
      <c r="Z92" s="156">
        <f t="shared" si="38"/>
        <v>11</v>
      </c>
      <c r="AA92" s="156">
        <f t="shared" si="38"/>
        <v>13</v>
      </c>
      <c r="AB92" s="156">
        <f t="shared" ref="AB92:AI93" si="39">D78</f>
        <v>17</v>
      </c>
      <c r="AC92" s="156">
        <f t="shared" si="39"/>
        <v>19</v>
      </c>
      <c r="AD92" s="156">
        <f t="shared" si="39"/>
        <v>23</v>
      </c>
      <c r="AE92" s="156">
        <f t="shared" si="39"/>
        <v>25</v>
      </c>
      <c r="AF92" s="156">
        <f t="shared" si="39"/>
        <v>29</v>
      </c>
      <c r="AG92" s="156">
        <f t="shared" si="39"/>
        <v>31</v>
      </c>
      <c r="AH92" s="156">
        <f t="shared" si="39"/>
        <v>35</v>
      </c>
      <c r="AI92" s="156">
        <f t="shared" si="39"/>
        <v>37</v>
      </c>
      <c r="AJ92" s="143" t="s">
        <v>0</v>
      </c>
      <c r="AK92" s="143" t="s">
        <v>0</v>
      </c>
      <c r="AL92" s="143" t="s">
        <v>0</v>
      </c>
      <c r="AM92" s="143" t="s">
        <v>0</v>
      </c>
      <c r="AO92" s="87">
        <f t="shared" si="23"/>
        <v>18.399999999999967</v>
      </c>
      <c r="AP92" s="126" t="str">
        <f t="shared" ref="AP92:AP155" si="40">COMPLEX(0.0001,-1*$D$20/AO92)</f>
        <v>0.0001-0.987174603174605i</v>
      </c>
      <c r="AQ92" s="105" t="str">
        <f t="shared" si="14"/>
        <v>0.000000001-0.00000000000000001i</v>
      </c>
      <c r="AR92" s="105" t="str">
        <f t="shared" ref="AR92:AR155" si="41">COMPLEX($D$23/$D$27,$D$23*AO92)</f>
        <v>0.00858412698412699+15.7947936507936i</v>
      </c>
      <c r="AS92" s="93" t="str">
        <f t="shared" si="16"/>
        <v>9999999999+9999999i</v>
      </c>
      <c r="AU92" s="87" t="str">
        <f t="shared" si="15"/>
        <v>0.00858412798412699+15.7947936507936i</v>
      </c>
      <c r="AV92" s="87" t="str">
        <f t="shared" si="17"/>
        <v>-72106640.8804566+157948022333.412i</v>
      </c>
      <c r="AW92" s="87" t="str">
        <f t="shared" si="18"/>
        <v>9999999999.00858+10000014.7947937i</v>
      </c>
      <c r="AX92" s="87" t="str">
        <f t="shared" si="19"/>
        <v>0.00858415293161825+15.7947936507415i</v>
      </c>
      <c r="AY92" s="87" t="str">
        <f t="shared" si="20"/>
        <v>0.00868415293161825+14.8076190475669i</v>
      </c>
      <c r="AZ92" s="87">
        <f t="shared" si="21"/>
        <v>18.399999999999967</v>
      </c>
      <c r="BA92" s="87">
        <f t="shared" si="22"/>
        <v>14.807621594043324</v>
      </c>
      <c r="BL92" s="104">
        <f>I92</f>
        <v>108.31063806136062</v>
      </c>
      <c r="BM92" s="87">
        <f>BL92*BL92</f>
        <v>11731.19431725906</v>
      </c>
    </row>
    <row r="93" spans="2:65" x14ac:dyDescent="0.25">
      <c r="B93" s="143"/>
      <c r="C93" s="143"/>
      <c r="D93" s="143"/>
      <c r="E93" s="143"/>
      <c r="G93" s="143"/>
      <c r="H93" s="205">
        <f>E72</f>
        <v>2</v>
      </c>
      <c r="I93" s="206">
        <f>E76*K86</f>
        <v>0</v>
      </c>
      <c r="J93" s="143"/>
      <c r="K93" s="150" t="s">
        <v>228</v>
      </c>
      <c r="L93" s="90" t="str">
        <f>D8&amp;" kV"</f>
        <v>4.16 kV</v>
      </c>
      <c r="Q93" s="143"/>
      <c r="R93" s="156" t="s">
        <v>65</v>
      </c>
      <c r="S93" s="156"/>
      <c r="T93" s="159">
        <f t="shared" si="38"/>
        <v>138.95064473099154</v>
      </c>
      <c r="U93" s="158">
        <f t="shared" si="38"/>
        <v>0</v>
      </c>
      <c r="V93" s="158">
        <f t="shared" si="38"/>
        <v>0</v>
      </c>
      <c r="W93" s="158">
        <f t="shared" si="38"/>
        <v>0</v>
      </c>
      <c r="X93" s="158">
        <f t="shared" si="38"/>
        <v>34.737661182747885</v>
      </c>
      <c r="Y93" s="158">
        <f t="shared" si="38"/>
        <v>0</v>
      </c>
      <c r="Z93" s="158">
        <f t="shared" si="38"/>
        <v>0</v>
      </c>
      <c r="AA93" s="158">
        <f t="shared" si="38"/>
        <v>0</v>
      </c>
      <c r="AB93" s="158">
        <f t="shared" si="39"/>
        <v>0</v>
      </c>
      <c r="AC93" s="158">
        <f t="shared" si="39"/>
        <v>0</v>
      </c>
      <c r="AD93" s="158">
        <f t="shared" si="39"/>
        <v>0</v>
      </c>
      <c r="AE93" s="158">
        <f t="shared" si="39"/>
        <v>0</v>
      </c>
      <c r="AF93" s="158">
        <f t="shared" si="39"/>
        <v>0</v>
      </c>
      <c r="AG93" s="158">
        <f t="shared" si="39"/>
        <v>0</v>
      </c>
      <c r="AH93" s="158">
        <f t="shared" si="39"/>
        <v>0</v>
      </c>
      <c r="AI93" s="158">
        <f t="shared" si="39"/>
        <v>0</v>
      </c>
      <c r="AJ93" s="143"/>
      <c r="AK93" s="143"/>
      <c r="AL93" s="143"/>
      <c r="AM93" s="143"/>
      <c r="AO93" s="87">
        <f t="shared" si="23"/>
        <v>18.599999999999966</v>
      </c>
      <c r="AP93" s="126" t="str">
        <f t="shared" si="40"/>
        <v>0.0001-0.976559822495308i</v>
      </c>
      <c r="AQ93" s="105" t="str">
        <f t="shared" si="14"/>
        <v>0.000000001-0.00000000000000001i</v>
      </c>
      <c r="AR93" s="105" t="str">
        <f t="shared" si="41"/>
        <v>0.00858412698412699+15.9664761904762i</v>
      </c>
      <c r="AS93" s="93" t="str">
        <f t="shared" si="16"/>
        <v>9999999999+9999999i</v>
      </c>
      <c r="AU93" s="87" t="str">
        <f t="shared" si="15"/>
        <v>0.00858412798412699+15.9664761904762i</v>
      </c>
      <c r="AV93" s="87" t="str">
        <f t="shared" si="17"/>
        <v>-73823466.1056+159664847730.067i</v>
      </c>
      <c r="AW93" s="87" t="str">
        <f t="shared" si="18"/>
        <v>9999999999.00858+10000014.9664762i</v>
      </c>
      <c r="AX93" s="87" t="str">
        <f t="shared" si="19"/>
        <v>0.00858415347690296+15.9664761904233i</v>
      </c>
      <c r="AY93" s="87" t="str">
        <f t="shared" si="20"/>
        <v>0.00868415347690296+14.989916367928i</v>
      </c>
      <c r="AZ93" s="87">
        <f t="shared" si="21"/>
        <v>18.599999999999966</v>
      </c>
      <c r="BA93" s="87">
        <f t="shared" si="22"/>
        <v>14.989918883436207</v>
      </c>
      <c r="BL93" s="104">
        <f t="shared" ref="BL93:BL107" si="42">I93</f>
        <v>0</v>
      </c>
      <c r="BM93" s="87">
        <f t="shared" ref="BM93:BM107" si="43">BL93*BL93</f>
        <v>0</v>
      </c>
    </row>
    <row r="94" spans="2:65" x14ac:dyDescent="0.25">
      <c r="B94" s="143"/>
      <c r="C94" s="143"/>
      <c r="D94" s="143"/>
      <c r="E94" s="143"/>
      <c r="G94" s="143"/>
      <c r="H94" s="138">
        <f>F72</f>
        <v>3</v>
      </c>
      <c r="I94" s="203">
        <f>F76*K86</f>
        <v>0</v>
      </c>
      <c r="K94" s="150" t="s">
        <v>233</v>
      </c>
      <c r="L94" s="98">
        <v>95</v>
      </c>
      <c r="Q94" s="143"/>
      <c r="R94" s="156" t="s">
        <v>66</v>
      </c>
      <c r="S94" s="156"/>
      <c r="T94" s="157">
        <f t="shared" ref="T94:AI94" si="44">$D$23*T92</f>
        <v>0.85841269841269874</v>
      </c>
      <c r="U94" s="157">
        <f t="shared" si="44"/>
        <v>1.7168253968253975</v>
      </c>
      <c r="V94" s="157">
        <f t="shared" si="44"/>
        <v>2.5752380952380962</v>
      </c>
      <c r="W94" s="157">
        <f t="shared" si="44"/>
        <v>3.433650793650795</v>
      </c>
      <c r="X94" s="157">
        <f t="shared" si="44"/>
        <v>4.2920634920634937</v>
      </c>
      <c r="Y94" s="157">
        <f t="shared" si="44"/>
        <v>6.0088888888888912</v>
      </c>
      <c r="Z94" s="157">
        <f t="shared" si="44"/>
        <v>9.4425396825396852</v>
      </c>
      <c r="AA94" s="157">
        <f t="shared" si="44"/>
        <v>11.159365079365084</v>
      </c>
      <c r="AB94" s="157">
        <f t="shared" si="44"/>
        <v>14.593015873015879</v>
      </c>
      <c r="AC94" s="157">
        <f t="shared" si="44"/>
        <v>16.309841269841275</v>
      </c>
      <c r="AD94" s="157">
        <f t="shared" si="44"/>
        <v>19.74349206349207</v>
      </c>
      <c r="AE94" s="157">
        <f t="shared" si="44"/>
        <v>21.460317460317469</v>
      </c>
      <c r="AF94" s="157">
        <f t="shared" si="44"/>
        <v>24.893968253968264</v>
      </c>
      <c r="AG94" s="157">
        <f t="shared" si="44"/>
        <v>26.61079365079366</v>
      </c>
      <c r="AH94" s="157">
        <f t="shared" si="44"/>
        <v>30.044444444444455</v>
      </c>
      <c r="AI94" s="157">
        <f t="shared" si="44"/>
        <v>31.761269841269854</v>
      </c>
      <c r="AJ94" s="143"/>
      <c r="AK94" s="143"/>
      <c r="AL94" s="143"/>
      <c r="AM94" s="143"/>
      <c r="AO94" s="87">
        <f t="shared" si="23"/>
        <v>18.799999999999965</v>
      </c>
      <c r="AP94" s="126" t="str">
        <f t="shared" si="40"/>
        <v>0.0001-0.966170888213443i</v>
      </c>
      <c r="AQ94" s="105" t="str">
        <f t="shared" si="14"/>
        <v>0.000000001-0.00000000000000001i</v>
      </c>
      <c r="AR94" s="105" t="str">
        <f t="shared" si="41"/>
        <v>0.00858412698412699+16.1381587301587i</v>
      </c>
      <c r="AS94" s="93" t="str">
        <f t="shared" si="16"/>
        <v>9999999999+9999999i</v>
      </c>
      <c r="AU94" s="87" t="str">
        <f t="shared" si="15"/>
        <v>0.00858412798412699+16.1381587301587i</v>
      </c>
      <c r="AV94" s="87" t="str">
        <f t="shared" si="17"/>
        <v>-75540291.3307425+161381673126.72i</v>
      </c>
      <c r="AW94" s="87" t="str">
        <f t="shared" si="18"/>
        <v>9999999999.00858+10000015.1381587i</v>
      </c>
      <c r="AX94" s="87" t="str">
        <f t="shared" si="19"/>
        <v>0.00858415402808255+16.1381587301049i</v>
      </c>
      <c r="AY94" s="87" t="str">
        <f t="shared" si="20"/>
        <v>0.00868415402808255+15.1719878418915i</v>
      </c>
      <c r="AZ94" s="87">
        <f t="shared" si="21"/>
        <v>18.799999999999965</v>
      </c>
      <c r="BA94" s="87">
        <f t="shared" si="22"/>
        <v>15.171990327212665</v>
      </c>
      <c r="BL94" s="104">
        <f t="shared" si="42"/>
        <v>0</v>
      </c>
      <c r="BM94" s="87">
        <f t="shared" si="43"/>
        <v>0</v>
      </c>
    </row>
    <row r="95" spans="2:65" x14ac:dyDescent="0.25">
      <c r="B95" s="191" t="str">
        <f>"Capacitor: Qty("&amp;D32*3&amp;"), "&amp;ROUND(D33,0)&amp;" kvar, "&amp;D30&amp;" kV, "&amp;ROUND(K33,2)&amp;" µF/Can"</f>
        <v>Capacitor: Qty(3), 424 kvar, 4.8 kV, 48.8 µF/Can</v>
      </c>
      <c r="C95" s="143"/>
      <c r="E95" s="143"/>
      <c r="G95" s="143"/>
      <c r="H95" s="207">
        <f>G72</f>
        <v>4</v>
      </c>
      <c r="I95" s="206">
        <f>G76*K86</f>
        <v>0</v>
      </c>
      <c r="J95" s="143"/>
      <c r="K95" s="150" t="s">
        <v>236</v>
      </c>
      <c r="L95" s="90">
        <f>D11</f>
        <v>60</v>
      </c>
      <c r="Q95" s="143"/>
      <c r="R95" s="156" t="s">
        <v>217</v>
      </c>
      <c r="S95" s="156"/>
      <c r="T95" s="159">
        <f>T93</f>
        <v>138.95064473099154</v>
      </c>
      <c r="U95" s="159">
        <f t="shared" ref="U95:AI95" si="45">U93</f>
        <v>0</v>
      </c>
      <c r="V95" s="159">
        <f t="shared" si="45"/>
        <v>0</v>
      </c>
      <c r="W95" s="159">
        <f t="shared" si="45"/>
        <v>0</v>
      </c>
      <c r="X95" s="159">
        <f t="shared" si="45"/>
        <v>34.737661182747885</v>
      </c>
      <c r="Y95" s="159">
        <f t="shared" si="45"/>
        <v>0</v>
      </c>
      <c r="Z95" s="159">
        <f t="shared" si="45"/>
        <v>0</v>
      </c>
      <c r="AA95" s="159">
        <f t="shared" si="45"/>
        <v>0</v>
      </c>
      <c r="AB95" s="159">
        <f t="shared" si="45"/>
        <v>0</v>
      </c>
      <c r="AC95" s="159">
        <f t="shared" si="45"/>
        <v>0</v>
      </c>
      <c r="AD95" s="159">
        <f t="shared" si="45"/>
        <v>0</v>
      </c>
      <c r="AE95" s="159">
        <f t="shared" si="45"/>
        <v>0</v>
      </c>
      <c r="AF95" s="159">
        <f t="shared" si="45"/>
        <v>0</v>
      </c>
      <c r="AG95" s="159">
        <f t="shared" si="45"/>
        <v>0</v>
      </c>
      <c r="AH95" s="159">
        <f t="shared" si="45"/>
        <v>0</v>
      </c>
      <c r="AI95" s="159">
        <f t="shared" si="45"/>
        <v>0</v>
      </c>
      <c r="AJ95" s="143"/>
      <c r="AK95" s="143"/>
      <c r="AL95" s="143"/>
      <c r="AM95" s="143"/>
      <c r="AO95" s="87">
        <f t="shared" si="23"/>
        <v>18.999999999999964</v>
      </c>
      <c r="AP95" s="126" t="str">
        <f t="shared" si="40"/>
        <v>0.0001-0.956000668337512i</v>
      </c>
      <c r="AQ95" s="105" t="str">
        <f t="shared" si="14"/>
        <v>0.000000001-0.00000000000000001i</v>
      </c>
      <c r="AR95" s="105" t="str">
        <f t="shared" si="41"/>
        <v>0.00858412698412699+16.3098412698412i</v>
      </c>
      <c r="AS95" s="93" t="str">
        <f t="shared" si="16"/>
        <v>9999999999+9999999i</v>
      </c>
      <c r="AU95" s="87" t="str">
        <f t="shared" si="15"/>
        <v>0.00858412798412699+16.3098412698412i</v>
      </c>
      <c r="AV95" s="87" t="str">
        <f t="shared" si="17"/>
        <v>-77257116.555885+163098498523.373i</v>
      </c>
      <c r="AW95" s="87" t="str">
        <f t="shared" si="18"/>
        <v>9999999999.00858+10000015.3098413i</v>
      </c>
      <c r="AX95" s="87" t="str">
        <f t="shared" si="19"/>
        <v>0.00858415458515726+16.3098412697866i</v>
      </c>
      <c r="AY95" s="87" t="str">
        <f t="shared" si="20"/>
        <v>0.00868415458515726+15.3538406014491i</v>
      </c>
      <c r="AZ95" s="87">
        <f t="shared" si="21"/>
        <v>18.999999999999964</v>
      </c>
      <c r="BA95" s="87">
        <f t="shared" si="22"/>
        <v>15.353843057334137</v>
      </c>
      <c r="BL95" s="104">
        <f t="shared" si="42"/>
        <v>0</v>
      </c>
      <c r="BM95" s="87">
        <f t="shared" si="43"/>
        <v>0</v>
      </c>
    </row>
    <row r="96" spans="2:65" x14ac:dyDescent="0.25">
      <c r="B96" s="190"/>
      <c r="C96" s="143"/>
      <c r="E96" s="143"/>
      <c r="G96" s="143"/>
      <c r="H96" s="138">
        <f>H72</f>
        <v>5</v>
      </c>
      <c r="I96" s="203">
        <f>H76*K86</f>
        <v>20.057525566918631</v>
      </c>
      <c r="J96" s="143"/>
      <c r="K96" s="51" t="s">
        <v>301</v>
      </c>
      <c r="L96" s="89">
        <f>D26</f>
        <v>6.8312326787577495</v>
      </c>
      <c r="Q96" s="143"/>
      <c r="R96" s="156"/>
      <c r="S96" s="156"/>
      <c r="T96" s="159"/>
      <c r="U96" s="157"/>
      <c r="V96" s="157"/>
      <c r="W96" s="157"/>
      <c r="X96" s="157"/>
      <c r="Y96" s="157"/>
      <c r="Z96" s="157"/>
      <c r="AA96" s="157"/>
      <c r="AB96" s="157"/>
      <c r="AC96" s="157"/>
      <c r="AD96" s="157"/>
      <c r="AE96" s="157"/>
      <c r="AF96" s="157"/>
      <c r="AG96" s="157"/>
      <c r="AH96" s="157"/>
      <c r="AI96" s="157"/>
      <c r="AJ96" s="143"/>
      <c r="AK96" s="143"/>
      <c r="AL96" s="143"/>
      <c r="AM96" s="143"/>
      <c r="AO96" s="87">
        <f t="shared" si="23"/>
        <v>19.199999999999964</v>
      </c>
      <c r="AP96" s="126" t="str">
        <f t="shared" si="40"/>
        <v>0.0001-0.94604232804233i</v>
      </c>
      <c r="AQ96" s="105" t="str">
        <f t="shared" si="14"/>
        <v>0.000000001-0.00000000000000001i</v>
      </c>
      <c r="AR96" s="105" t="str">
        <f t="shared" si="41"/>
        <v>0.00858412698412699+16.4815238095238i</v>
      </c>
      <c r="AS96" s="93" t="str">
        <f t="shared" si="16"/>
        <v>9999999999+9999999i</v>
      </c>
      <c r="AU96" s="87" t="str">
        <f t="shared" si="15"/>
        <v>0.00858412798412699+16.4815238095238i</v>
      </c>
      <c r="AV96" s="87" t="str">
        <f t="shared" si="17"/>
        <v>-78973941.7810284+164815323920.028i</v>
      </c>
      <c r="AW96" s="87" t="str">
        <f t="shared" si="18"/>
        <v>9999999999.00858+10000015.4815238i</v>
      </c>
      <c r="AX96" s="87" t="str">
        <f t="shared" si="19"/>
        <v>0.0085841551481269+16.4815238094684i</v>
      </c>
      <c r="AY96" s="87" t="str">
        <f t="shared" si="20"/>
        <v>0.0086841551481269+15.5354814814261i</v>
      </c>
      <c r="AZ96" s="87">
        <f t="shared" si="21"/>
        <v>19.199999999999964</v>
      </c>
      <c r="BA96" s="87">
        <f t="shared" si="22"/>
        <v>15.535483908597245</v>
      </c>
      <c r="BL96" s="104">
        <f t="shared" si="42"/>
        <v>20.057525566918631</v>
      </c>
      <c r="BM96" s="87">
        <f t="shared" si="43"/>
        <v>402.30433186759456</v>
      </c>
    </row>
    <row r="97" spans="2:66" x14ac:dyDescent="0.25">
      <c r="B97" s="190" t="str">
        <f>"Capacitor Fuse: "&amp;ROUND(D35,0)&amp;" (Minimum Amps)"</f>
        <v>Capacitor Fuse: 144 (Minimum Amps)</v>
      </c>
      <c r="C97" s="143"/>
      <c r="E97" s="143"/>
      <c r="G97" s="143"/>
      <c r="H97" s="205">
        <f>I72</f>
        <v>7</v>
      </c>
      <c r="I97" s="206">
        <f>I76*K86</f>
        <v>0</v>
      </c>
      <c r="J97" s="143"/>
      <c r="K97" s="51" t="str">
        <f>"Reactance at "&amp;L95&amp;"Hz (ohms):"</f>
        <v>Reactance at 60Hz (ohms):</v>
      </c>
      <c r="L97" s="89">
        <f>D24</f>
        <v>2.5752380952380962</v>
      </c>
      <c r="Q97" s="143"/>
      <c r="R97" s="156" t="s">
        <v>0</v>
      </c>
      <c r="S97" s="156"/>
      <c r="T97" s="156"/>
      <c r="U97" s="156"/>
      <c r="V97" s="156"/>
      <c r="W97" s="156"/>
      <c r="X97" s="156"/>
      <c r="Y97" s="156"/>
      <c r="Z97" s="156"/>
      <c r="AA97" s="156"/>
      <c r="AB97" s="156"/>
      <c r="AC97" s="156"/>
      <c r="AD97" s="156"/>
      <c r="AE97" s="156"/>
      <c r="AF97" s="156"/>
      <c r="AG97" s="156"/>
      <c r="AH97" s="156"/>
      <c r="AI97" s="156"/>
      <c r="AJ97" s="143"/>
      <c r="AK97" s="143"/>
      <c r="AL97" s="143"/>
      <c r="AM97" s="143"/>
      <c r="AO97" s="87">
        <f t="shared" si="23"/>
        <v>19.399999999999963</v>
      </c>
      <c r="AP97" s="126" t="str">
        <f t="shared" si="40"/>
        <v>0.0001-0.936289314351172i</v>
      </c>
      <c r="AQ97" s="105" t="str">
        <f t="shared" si="14"/>
        <v>0.000000001-0.00000000000000001i</v>
      </c>
      <c r="AR97" s="105" t="str">
        <f t="shared" si="41"/>
        <v>0.00858412698412699+16.6532063492063i</v>
      </c>
      <c r="AS97" s="93" t="str">
        <f t="shared" si="16"/>
        <v>9999999999+9999999i</v>
      </c>
      <c r="AU97" s="87" t="str">
        <f t="shared" si="15"/>
        <v>0.00858412798412699+16.6532063492063i</v>
      </c>
      <c r="AV97" s="87" t="str">
        <f t="shared" si="17"/>
        <v>-80690767.0061709+166532149316.681i</v>
      </c>
      <c r="AW97" s="87" t="str">
        <f t="shared" si="18"/>
        <v>9999999999.00858+10000015.6532063i</v>
      </c>
      <c r="AX97" s="87" t="str">
        <f t="shared" si="19"/>
        <v>0.00858415571699139+16.65320634915i</v>
      </c>
      <c r="AY97" s="87" t="str">
        <f t="shared" si="20"/>
        <v>0.00868415571699139+15.7169170347988i</v>
      </c>
      <c r="AZ97" s="87">
        <f t="shared" si="21"/>
        <v>19.399999999999963</v>
      </c>
      <c r="BA97" s="87">
        <f t="shared" si="22"/>
        <v>15.716919433951086</v>
      </c>
      <c r="BL97" s="104">
        <f t="shared" si="42"/>
        <v>0</v>
      </c>
      <c r="BM97" s="87">
        <f t="shared" si="43"/>
        <v>0</v>
      </c>
    </row>
    <row r="98" spans="2:66" x14ac:dyDescent="0.25">
      <c r="B98" s="143"/>
      <c r="C98" s="143"/>
      <c r="D98" s="143"/>
      <c r="E98" s="143"/>
      <c r="G98" s="143"/>
      <c r="H98" s="138">
        <f>J72</f>
        <v>11</v>
      </c>
      <c r="I98" s="203">
        <f>J76*K86</f>
        <v>0</v>
      </c>
      <c r="J98" s="143"/>
      <c r="K98" s="150" t="s">
        <v>239</v>
      </c>
      <c r="L98" s="98" t="s">
        <v>238</v>
      </c>
      <c r="Q98" s="143"/>
      <c r="R98" s="156" t="s">
        <v>0</v>
      </c>
      <c r="S98" s="143"/>
      <c r="T98" s="143"/>
      <c r="U98" s="143"/>
      <c r="V98" s="143"/>
      <c r="W98" s="143"/>
      <c r="X98" s="143"/>
      <c r="Y98" s="143"/>
      <c r="Z98" s="143"/>
      <c r="AA98" s="143"/>
      <c r="AB98" s="143"/>
      <c r="AC98" s="143"/>
      <c r="AD98" s="143"/>
      <c r="AE98" s="143"/>
      <c r="AF98" s="143"/>
      <c r="AG98" s="143"/>
      <c r="AH98" s="143"/>
      <c r="AI98" s="143"/>
      <c r="AJ98" s="143"/>
      <c r="AK98" s="143" t="s">
        <v>0</v>
      </c>
      <c r="AL98" s="143" t="s">
        <v>0</v>
      </c>
      <c r="AM98" s="143" t="s">
        <v>0</v>
      </c>
      <c r="AN98" s="87" t="s">
        <v>0</v>
      </c>
      <c r="AO98" s="87">
        <f t="shared" si="23"/>
        <v>19.599999999999962</v>
      </c>
      <c r="AP98" s="126" t="str">
        <f t="shared" si="40"/>
        <v>0.0001-0.926735341755752i</v>
      </c>
      <c r="AQ98" s="105" t="str">
        <f t="shared" si="14"/>
        <v>0.000000001-0.00000000000000001i</v>
      </c>
      <c r="AR98" s="105" t="str">
        <f t="shared" si="41"/>
        <v>0.00858412698412699+16.8248888888889i</v>
      </c>
      <c r="AS98" s="93" t="str">
        <f t="shared" si="16"/>
        <v>9999999999+9999999i</v>
      </c>
      <c r="AU98" s="87" t="str">
        <f t="shared" si="15"/>
        <v>0.00858412798412699+16.8248888888889i</v>
      </c>
      <c r="AV98" s="87" t="str">
        <f t="shared" si="17"/>
        <v>-82407592.2313143+168248974713.335i</v>
      </c>
      <c r="AW98" s="87" t="str">
        <f t="shared" si="18"/>
        <v>9999999999.00858+10000015.8248889i</v>
      </c>
      <c r="AX98" s="87" t="str">
        <f t="shared" si="19"/>
        <v>0.00858415629175104+16.8248888888317i</v>
      </c>
      <c r="AY98" s="87" t="str">
        <f t="shared" si="20"/>
        <v>0.00868415629175104+15.8981535470759i</v>
      </c>
      <c r="AZ98" s="87">
        <f t="shared" si="21"/>
        <v>19.599999999999962</v>
      </c>
      <c r="BA98" s="87">
        <f t="shared" si="22"/>
        <v>15.898155918878532</v>
      </c>
      <c r="BL98" s="104">
        <f t="shared" si="42"/>
        <v>0</v>
      </c>
      <c r="BM98" s="87">
        <f t="shared" si="43"/>
        <v>0</v>
      </c>
    </row>
    <row r="99" spans="2:66" x14ac:dyDescent="0.25">
      <c r="B99" s="143"/>
      <c r="C99" s="143"/>
      <c r="D99" s="143"/>
      <c r="E99" s="143"/>
      <c r="G99" s="143"/>
      <c r="H99" s="205">
        <f>K72</f>
        <v>13</v>
      </c>
      <c r="I99" s="206">
        <f>K76*K86</f>
        <v>0</v>
      </c>
      <c r="J99" s="143"/>
      <c r="K99" s="150" t="s">
        <v>230</v>
      </c>
      <c r="L99" s="98" t="s">
        <v>234</v>
      </c>
      <c r="Q99" s="143"/>
      <c r="R99" s="156" t="s">
        <v>141</v>
      </c>
      <c r="S99" s="143"/>
      <c r="T99" s="143">
        <f>T93*T93</f>
        <v>19307.281671158227</v>
      </c>
      <c r="U99" s="143">
        <f t="shared" ref="U99:AI99" si="46">U93*U93</f>
        <v>0</v>
      </c>
      <c r="V99" s="143">
        <f t="shared" si="46"/>
        <v>0</v>
      </c>
      <c r="W99" s="143">
        <f t="shared" si="46"/>
        <v>0</v>
      </c>
      <c r="X99" s="143">
        <f t="shared" si="46"/>
        <v>1206.7051044473892</v>
      </c>
      <c r="Y99" s="143">
        <f t="shared" si="46"/>
        <v>0</v>
      </c>
      <c r="Z99" s="143">
        <f t="shared" si="46"/>
        <v>0</v>
      </c>
      <c r="AA99" s="143">
        <f t="shared" si="46"/>
        <v>0</v>
      </c>
      <c r="AB99" s="143">
        <f t="shared" si="46"/>
        <v>0</v>
      </c>
      <c r="AC99" s="143">
        <f t="shared" si="46"/>
        <v>0</v>
      </c>
      <c r="AD99" s="143">
        <f t="shared" si="46"/>
        <v>0</v>
      </c>
      <c r="AE99" s="143">
        <f t="shared" si="46"/>
        <v>0</v>
      </c>
      <c r="AF99" s="143">
        <f t="shared" si="46"/>
        <v>0</v>
      </c>
      <c r="AG99" s="143">
        <f t="shared" si="46"/>
        <v>0</v>
      </c>
      <c r="AH99" s="143">
        <f t="shared" si="46"/>
        <v>0</v>
      </c>
      <c r="AI99" s="143">
        <f t="shared" si="46"/>
        <v>0</v>
      </c>
      <c r="AJ99" s="143"/>
      <c r="AK99" s="143" t="s">
        <v>149</v>
      </c>
      <c r="AL99" s="143"/>
      <c r="AM99" s="143">
        <f>SQRT(SUM(T99:AI99))</f>
        <v>143.22704624338803</v>
      </c>
      <c r="AO99" s="87">
        <f t="shared" si="23"/>
        <v>19.799999999999962</v>
      </c>
      <c r="AP99" s="126" t="str">
        <f t="shared" si="40"/>
        <v>0.0001-0.917374378707714i</v>
      </c>
      <c r="AQ99" s="105" t="str">
        <f t="shared" si="14"/>
        <v>0.000000001-0.00000000000000001i</v>
      </c>
      <c r="AR99" s="105" t="str">
        <f t="shared" si="41"/>
        <v>0.00858412698412699+16.9965714285714i</v>
      </c>
      <c r="AS99" s="93" t="str">
        <f t="shared" si="16"/>
        <v>9999999999+9999999i</v>
      </c>
      <c r="AU99" s="87" t="str">
        <f t="shared" si="15"/>
        <v>0.00858412798412699+16.9965714285714i</v>
      </c>
      <c r="AV99" s="87" t="str">
        <f t="shared" si="17"/>
        <v>-84124417.4564568+169965800109.989i</v>
      </c>
      <c r="AW99" s="87" t="str">
        <f t="shared" si="18"/>
        <v>9999999999.00858+10000015.9965714i</v>
      </c>
      <c r="AX99" s="87" t="str">
        <f t="shared" si="19"/>
        <v>0.00858415687240558+16.9965714285134i</v>
      </c>
      <c r="AY99" s="87" t="str">
        <f t="shared" si="20"/>
        <v>0.00868415687240558+16.0791970498057i</v>
      </c>
      <c r="AZ99" s="87">
        <f t="shared" si="21"/>
        <v>19.799999999999962</v>
      </c>
      <c r="BA99" s="87">
        <f t="shared" si="22"/>
        <v>16.079199394903373</v>
      </c>
      <c r="BL99" s="104">
        <f t="shared" si="42"/>
        <v>0</v>
      </c>
      <c r="BM99" s="87">
        <f t="shared" si="43"/>
        <v>0</v>
      </c>
    </row>
    <row r="100" spans="2:66" ht="17.25" x14ac:dyDescent="0.25">
      <c r="B100" s="193" t="str">
        <f>"Iron-Core Filter Reactor: "&amp;ROUND(D24,2)&amp;" ohms, "&amp;ROUND(D26,2)&amp;" mH"</f>
        <v>Iron-Core Filter Reactor: 2.58 ohms, 6.83 mH</v>
      </c>
      <c r="C100" s="143"/>
      <c r="E100" s="143"/>
      <c r="H100" s="138">
        <f>D78</f>
        <v>17</v>
      </c>
      <c r="I100" s="204">
        <f>D82*K86</f>
        <v>0</v>
      </c>
      <c r="J100" s="143"/>
      <c r="K100" s="213" t="s">
        <v>244</v>
      </c>
      <c r="L100" s="98" t="s">
        <v>245</v>
      </c>
      <c r="Q100" s="143"/>
      <c r="R100" s="28" t="s">
        <v>186</v>
      </c>
      <c r="T100" s="87">
        <f>$D$24/$D$27*T95*T95</f>
        <v>497.20847275058918</v>
      </c>
      <c r="U100" s="87">
        <f t="shared" ref="U100:AI100" si="47">$D$24/$D$27*U95*U95</f>
        <v>0</v>
      </c>
      <c r="V100" s="87">
        <f t="shared" si="47"/>
        <v>0</v>
      </c>
      <c r="W100" s="87">
        <f t="shared" si="47"/>
        <v>0</v>
      </c>
      <c r="X100" s="87">
        <f t="shared" si="47"/>
        <v>31.075529546911824</v>
      </c>
      <c r="Y100" s="87">
        <f t="shared" si="47"/>
        <v>0</v>
      </c>
      <c r="Z100" s="87">
        <f t="shared" si="47"/>
        <v>0</v>
      </c>
      <c r="AA100" s="87">
        <f t="shared" si="47"/>
        <v>0</v>
      </c>
      <c r="AB100" s="87">
        <f t="shared" si="47"/>
        <v>0</v>
      </c>
      <c r="AC100" s="87">
        <f t="shared" si="47"/>
        <v>0</v>
      </c>
      <c r="AD100" s="87">
        <f t="shared" si="47"/>
        <v>0</v>
      </c>
      <c r="AE100" s="87">
        <f t="shared" si="47"/>
        <v>0</v>
      </c>
      <c r="AF100" s="87">
        <f t="shared" si="47"/>
        <v>0</v>
      </c>
      <c r="AG100" s="87">
        <f t="shared" si="47"/>
        <v>0</v>
      </c>
      <c r="AH100" s="87">
        <f t="shared" si="47"/>
        <v>0</v>
      </c>
      <c r="AI100" s="87">
        <f t="shared" si="47"/>
        <v>0</v>
      </c>
      <c r="AJ100" s="143"/>
      <c r="AK100" s="143"/>
      <c r="AL100" s="143"/>
      <c r="AM100" s="143"/>
      <c r="AO100" s="87">
        <f t="shared" si="23"/>
        <v>19.999999999999961</v>
      </c>
      <c r="AP100" s="126" t="str">
        <f t="shared" si="40"/>
        <v>0.0001-0.908200634920637i</v>
      </c>
      <c r="AQ100" s="105" t="str">
        <f t="shared" si="14"/>
        <v>0.000000001-0.00000000000000001i</v>
      </c>
      <c r="AR100" s="105" t="str">
        <f t="shared" si="41"/>
        <v>0.00858412698412699+17.1682539682539i</v>
      </c>
      <c r="AS100" s="93" t="str">
        <f t="shared" si="16"/>
        <v>9999999999+9999999i</v>
      </c>
      <c r="AU100" s="87" t="str">
        <f t="shared" si="15"/>
        <v>0.00858412798412699+17.1682539682539i</v>
      </c>
      <c r="AV100" s="87" t="str">
        <f t="shared" si="17"/>
        <v>-85841242.6815993+171682625506.642i</v>
      </c>
      <c r="AW100" s="87" t="str">
        <f t="shared" si="18"/>
        <v>9999999999.00858+10000016.168254i</v>
      </c>
      <c r="AX100" s="87" t="str">
        <f t="shared" si="19"/>
        <v>0.00858415745895517+17.168253968195i</v>
      </c>
      <c r="AY100" s="87" t="str">
        <f t="shared" si="20"/>
        <v>0.00868415745895517+16.2600533332744i</v>
      </c>
      <c r="AZ100" s="87">
        <f t="shared" si="21"/>
        <v>19.999999999999961</v>
      </c>
      <c r="BA100" s="87">
        <f t="shared" si="22"/>
        <v>16.260055652288486</v>
      </c>
      <c r="BL100" s="104">
        <f t="shared" si="42"/>
        <v>0</v>
      </c>
      <c r="BM100" s="87">
        <f t="shared" si="43"/>
        <v>0</v>
      </c>
    </row>
    <row r="101" spans="2:66" x14ac:dyDescent="0.25">
      <c r="B101" s="192" t="str">
        <f>"I1= "&amp;ROUND(D75*0.578,1)&amp;" amps nominal"&amp;", Irms = "&amp;ROUND(D18,1)&amp;" amps nominal"</f>
        <v>I1= 80.3 amps nominal, Irms = 82.7 amps nominal</v>
      </c>
      <c r="C101" s="143"/>
      <c r="E101" s="143"/>
      <c r="H101" s="205">
        <f>E78</f>
        <v>19</v>
      </c>
      <c r="I101" s="206">
        <f>E82*K86</f>
        <v>0</v>
      </c>
      <c r="J101" s="143"/>
      <c r="K101" s="213" t="s">
        <v>246</v>
      </c>
      <c r="L101" s="98" t="s">
        <v>247</v>
      </c>
      <c r="Q101" s="143"/>
      <c r="R101" s="143"/>
      <c r="S101" s="143"/>
      <c r="T101" s="143"/>
      <c r="U101" s="143"/>
      <c r="V101" s="143"/>
      <c r="W101" s="143"/>
      <c r="X101" s="143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3"/>
      <c r="AM101" s="143"/>
      <c r="AO101" s="87">
        <f t="shared" si="23"/>
        <v>20.19999999999996</v>
      </c>
      <c r="AP101" s="126" t="str">
        <f t="shared" si="40"/>
        <v>0.0001-0.899208549426373i</v>
      </c>
      <c r="AQ101" s="105" t="str">
        <f t="shared" si="14"/>
        <v>0.000000001-0.00000000000000001i</v>
      </c>
      <c r="AR101" s="105" t="str">
        <f t="shared" si="41"/>
        <v>0.00858412698412699+17.3399365079365i</v>
      </c>
      <c r="AS101" s="93" t="str">
        <f t="shared" si="16"/>
        <v>9999999999+9999999i</v>
      </c>
      <c r="AU101" s="87" t="str">
        <f t="shared" si="15"/>
        <v>0.00858412798412699+17.3399365079365i</v>
      </c>
      <c r="AV101" s="87" t="str">
        <f t="shared" si="17"/>
        <v>-87558067.9067427+173399450903.296i</v>
      </c>
      <c r="AW101" s="87" t="str">
        <f t="shared" si="18"/>
        <v>9999999999.00858+10000016.3399365i</v>
      </c>
      <c r="AX101" s="87" t="str">
        <f t="shared" si="19"/>
        <v>0.00858415805139957+17.3399365078766i</v>
      </c>
      <c r="AY101" s="87" t="str">
        <f t="shared" si="20"/>
        <v>0.00868415805139957+16.4407279584502i</v>
      </c>
      <c r="AZ101" s="87">
        <f t="shared" si="21"/>
        <v>20.19999999999996</v>
      </c>
      <c r="BA101" s="87">
        <f t="shared" si="22"/>
        <v>16.4407302519799</v>
      </c>
      <c r="BL101" s="104">
        <f t="shared" si="42"/>
        <v>0</v>
      </c>
      <c r="BM101" s="87">
        <f t="shared" si="43"/>
        <v>0</v>
      </c>
    </row>
    <row r="102" spans="2:66" x14ac:dyDescent="0.25">
      <c r="B102" s="143"/>
      <c r="C102" s="143"/>
      <c r="D102" s="143"/>
      <c r="E102" s="143"/>
      <c r="G102" s="143"/>
      <c r="H102" s="138">
        <f>F78</f>
        <v>23</v>
      </c>
      <c r="I102" s="203">
        <f>F82*K86</f>
        <v>0</v>
      </c>
      <c r="J102" s="143"/>
      <c r="K102" s="150" t="s">
        <v>231</v>
      </c>
      <c r="L102" s="98" t="s">
        <v>250</v>
      </c>
      <c r="Q102" s="143"/>
      <c r="R102" s="143"/>
      <c r="S102" s="143"/>
      <c r="T102" s="143"/>
      <c r="U102" s="143"/>
      <c r="V102" s="143"/>
      <c r="W102" s="143"/>
      <c r="X102" s="143"/>
      <c r="Y102" s="143"/>
      <c r="Z102" s="143"/>
      <c r="AA102" s="143"/>
      <c r="AB102" s="143"/>
      <c r="AC102" s="143"/>
      <c r="AD102" s="143"/>
      <c r="AE102" s="143"/>
      <c r="AF102" s="143"/>
      <c r="AG102" s="143"/>
      <c r="AH102" s="143"/>
      <c r="AI102" s="143"/>
      <c r="AJ102" s="143"/>
      <c r="AK102" s="143"/>
      <c r="AL102" s="143"/>
      <c r="AM102" s="143"/>
      <c r="AO102" s="87">
        <f t="shared" si="23"/>
        <v>20.399999999999959</v>
      </c>
      <c r="AP102" s="126" t="str">
        <f t="shared" si="40"/>
        <v>0.0001-0.890392779333958i</v>
      </c>
      <c r="AQ102" s="105" t="str">
        <f t="shared" si="14"/>
        <v>0.000000001-0.00000000000000001i</v>
      </c>
      <c r="AR102" s="105" t="str">
        <f t="shared" si="41"/>
        <v>0.00858412698412699+17.511619047619i</v>
      </c>
      <c r="AS102" s="93" t="str">
        <f t="shared" si="16"/>
        <v>9999999999+9999999i</v>
      </c>
      <c r="AU102" s="87" t="str">
        <f t="shared" si="15"/>
        <v>0.00858412798412699+17.511619047619i</v>
      </c>
      <c r="AV102" s="87" t="str">
        <f t="shared" si="17"/>
        <v>-89274893.1318852+175116276299.95i</v>
      </c>
      <c r="AW102" s="87" t="str">
        <f t="shared" si="18"/>
        <v>9999999999.00858+10000016.511619i</v>
      </c>
      <c r="AX102" s="87" t="str">
        <f t="shared" si="19"/>
        <v>0.00858415864973903+17.5116190475583i</v>
      </c>
      <c r="AY102" s="87" t="str">
        <f t="shared" si="20"/>
        <v>0.00868415864973903+16.6212262682243i</v>
      </c>
      <c r="AZ102" s="87">
        <f t="shared" si="21"/>
        <v>20.399999999999959</v>
      </c>
      <c r="BA102" s="87">
        <f t="shared" si="22"/>
        <v>16.62122853684772</v>
      </c>
      <c r="BL102" s="104">
        <f t="shared" si="42"/>
        <v>0</v>
      </c>
      <c r="BM102" s="87">
        <f t="shared" si="43"/>
        <v>0</v>
      </c>
    </row>
    <row r="103" spans="2:66" x14ac:dyDescent="0.25">
      <c r="B103" s="143"/>
      <c r="C103" s="143"/>
      <c r="D103" s="143"/>
      <c r="E103" s="143"/>
      <c r="G103" s="143"/>
      <c r="H103" s="205">
        <f>G78</f>
        <v>25</v>
      </c>
      <c r="I103" s="206">
        <f>G82*K86</f>
        <v>0</v>
      </c>
      <c r="J103" s="143"/>
      <c r="K103" s="150" t="s">
        <v>232</v>
      </c>
      <c r="L103" s="98" t="s">
        <v>235</v>
      </c>
      <c r="AO103" s="87">
        <f t="shared" si="23"/>
        <v>20.599999999999959</v>
      </c>
      <c r="AP103" s="126" t="str">
        <f t="shared" si="40"/>
        <v>0.0001-0.881748189243337i</v>
      </c>
      <c r="AQ103" s="105" t="str">
        <f t="shared" si="14"/>
        <v>0.000000001-0.00000000000000001i</v>
      </c>
      <c r="AR103" s="105" t="str">
        <f t="shared" si="41"/>
        <v>0.00858412698412699+17.6833015873016i</v>
      </c>
      <c r="AS103" s="93" t="str">
        <f t="shared" si="16"/>
        <v>9999999999+9999999i</v>
      </c>
      <c r="AU103" s="87" t="str">
        <f t="shared" si="15"/>
        <v>0.00858412798412699+17.6833015873016i</v>
      </c>
      <c r="AV103" s="87" t="str">
        <f t="shared" si="17"/>
        <v>-90991718.3570286+176833101696.604i</v>
      </c>
      <c r="AW103" s="87" t="str">
        <f t="shared" si="18"/>
        <v>9999999999.00858+10000016.6833016i</v>
      </c>
      <c r="AX103" s="87" t="str">
        <f t="shared" si="19"/>
        <v>0.00858415925397354+17.68330158724i</v>
      </c>
      <c r="AY103" s="87" t="str">
        <f t="shared" si="20"/>
        <v>0.00868415925397354+16.8015533979967i</v>
      </c>
      <c r="AZ103" s="87">
        <f t="shared" si="21"/>
        <v>20.599999999999959</v>
      </c>
      <c r="BA103" s="87">
        <f t="shared" si="22"/>
        <v>16.801555642271829</v>
      </c>
      <c r="BL103" s="104">
        <f t="shared" si="42"/>
        <v>0</v>
      </c>
      <c r="BM103" s="87">
        <f t="shared" si="43"/>
        <v>0</v>
      </c>
    </row>
    <row r="104" spans="2:66" x14ac:dyDescent="0.25">
      <c r="B104" s="143"/>
      <c r="C104" s="143"/>
      <c r="D104" s="152"/>
      <c r="E104" s="143"/>
      <c r="F104" s="152"/>
      <c r="G104" s="143"/>
      <c r="H104" s="90">
        <f>H78</f>
        <v>29</v>
      </c>
      <c r="I104" s="203">
        <f>H82*K86</f>
        <v>0</v>
      </c>
      <c r="J104" s="143"/>
      <c r="K104" s="150" t="s">
        <v>237</v>
      </c>
      <c r="L104" s="214" t="s">
        <v>249</v>
      </c>
      <c r="AO104" s="87">
        <f t="shared" si="23"/>
        <v>20.799999999999958</v>
      </c>
      <c r="AP104" s="126" t="str">
        <f t="shared" si="40"/>
        <v>0.0001-0.873269841269843i</v>
      </c>
      <c r="AQ104" s="105" t="str">
        <f t="shared" si="14"/>
        <v>0.000000001-0.00000000000000001i</v>
      </c>
      <c r="AR104" s="105" t="str">
        <f t="shared" si="41"/>
        <v>0.00858412698412699+17.8549841269841i</v>
      </c>
      <c r="AS104" s="93" t="str">
        <f t="shared" si="16"/>
        <v>9999999999+9999999i</v>
      </c>
      <c r="AU104" s="87" t="str">
        <f t="shared" si="15"/>
        <v>0.00858412798412699+17.8549841269841i</v>
      </c>
      <c r="AV104" s="87" t="str">
        <f t="shared" si="17"/>
        <v>-92708543.5821711+178549927093.257i</v>
      </c>
      <c r="AW104" s="87" t="str">
        <f t="shared" si="18"/>
        <v>9999999999.00858+10000016.8549841i</v>
      </c>
      <c r="AX104" s="87" t="str">
        <f t="shared" si="19"/>
        <v>0.00858415986410285+17.8549841269215i</v>
      </c>
      <c r="AY104" s="87" t="str">
        <f t="shared" si="20"/>
        <v>0.00868415986410285+16.9817142856517i</v>
      </c>
      <c r="AZ104" s="87">
        <f t="shared" si="21"/>
        <v>20.799999999999958</v>
      </c>
      <c r="BA104" s="87">
        <f t="shared" si="22"/>
        <v>16.981716506117383</v>
      </c>
      <c r="BL104" s="104">
        <f t="shared" si="42"/>
        <v>0</v>
      </c>
      <c r="BM104" s="87">
        <f t="shared" si="43"/>
        <v>0</v>
      </c>
    </row>
    <row r="105" spans="2:66" x14ac:dyDescent="0.25">
      <c r="B105" s="143"/>
      <c r="C105" s="143"/>
      <c r="D105" s="97"/>
      <c r="E105" s="161"/>
      <c r="F105" s="152"/>
      <c r="G105" s="143"/>
      <c r="H105" s="205">
        <f>I78</f>
        <v>31</v>
      </c>
      <c r="I105" s="206">
        <f>I82*K86</f>
        <v>0</v>
      </c>
      <c r="J105" s="143"/>
      <c r="AO105" s="87">
        <f t="shared" si="23"/>
        <v>20.999999999999957</v>
      </c>
      <c r="AP105" s="126" t="str">
        <f t="shared" si="40"/>
        <v>0.0001-0.864952985638702i</v>
      </c>
      <c r="AQ105" s="105" t="str">
        <f t="shared" si="14"/>
        <v>0.000000001-0.00000000000000001i</v>
      </c>
      <c r="AR105" s="105" t="str">
        <f t="shared" si="41"/>
        <v>0.00858412698412699+18.0266666666666i</v>
      </c>
      <c r="AS105" s="93" t="str">
        <f t="shared" si="16"/>
        <v>9999999999+9999999i</v>
      </c>
      <c r="AU105" s="87" t="str">
        <f t="shared" si="15"/>
        <v>0.00858412798412699+18.0266666666666i</v>
      </c>
      <c r="AV105" s="87" t="str">
        <f t="shared" si="17"/>
        <v>-94425368.8073136+180266752489.911i</v>
      </c>
      <c r="AW105" s="87" t="str">
        <f t="shared" si="18"/>
        <v>9999999999.00858+10000017.0266667i</v>
      </c>
      <c r="AX105" s="87" t="str">
        <f t="shared" si="19"/>
        <v>0.0085841604801274+18.0266666666032i</v>
      </c>
      <c r="AY105" s="87" t="str">
        <f t="shared" si="20"/>
        <v>0.0086841604801274+17.1617136809645i</v>
      </c>
      <c r="AZ105" s="87">
        <f t="shared" si="21"/>
        <v>20.999999999999957</v>
      </c>
      <c r="BA105" s="87">
        <f t="shared" si="22"/>
        <v>17.161715878141305</v>
      </c>
      <c r="BL105" s="104">
        <f t="shared" si="42"/>
        <v>0</v>
      </c>
      <c r="BM105" s="87">
        <f t="shared" si="43"/>
        <v>0</v>
      </c>
    </row>
    <row r="106" spans="2:66" x14ac:dyDescent="0.25">
      <c r="B106" s="324" t="str">
        <f>D8&amp;"kV, "&amp;D11&amp;"Hz Notch Filter, Delta Connected"</f>
        <v>4.16kV, 60Hz Notch Filter, Delta Connected</v>
      </c>
      <c r="C106" s="324"/>
      <c r="D106" s="324"/>
      <c r="E106" s="152"/>
      <c r="G106" s="143"/>
      <c r="H106" s="138">
        <f>J78</f>
        <v>35</v>
      </c>
      <c r="I106" s="203">
        <f>J82*K86</f>
        <v>0</v>
      </c>
      <c r="J106" s="143"/>
      <c r="AO106" s="87">
        <f t="shared" si="23"/>
        <v>21.199999999999957</v>
      </c>
      <c r="AP106" s="126" t="str">
        <f t="shared" si="40"/>
        <v>0.0001-0.856793051811922i</v>
      </c>
      <c r="AQ106" s="105" t="str">
        <f t="shared" si="14"/>
        <v>0.000000001-0.00000000000000001i</v>
      </c>
      <c r="AR106" s="105" t="str">
        <f t="shared" si="41"/>
        <v>0.00858412698412699+18.1983492063492i</v>
      </c>
      <c r="AS106" s="93" t="str">
        <f t="shared" si="16"/>
        <v>9999999999+9999999i</v>
      </c>
      <c r="AU106" s="87" t="str">
        <f t="shared" si="15"/>
        <v>0.00858412798412699+18.1983492063492i</v>
      </c>
      <c r="AV106" s="87" t="str">
        <f t="shared" si="17"/>
        <v>-96142194.032457+181983577886.565i</v>
      </c>
      <c r="AW106" s="87" t="str">
        <f t="shared" si="18"/>
        <v>9999999999.00858+10000017.1983492i</v>
      </c>
      <c r="AX106" s="87" t="str">
        <f t="shared" si="19"/>
        <v>0.00858416110204666+18.1983492062849i</v>
      </c>
      <c r="AY106" s="87" t="str">
        <f t="shared" si="20"/>
        <v>0.00868416110204666+17.341556154473i</v>
      </c>
      <c r="AZ106" s="87">
        <f t="shared" si="21"/>
        <v>21.199999999999957</v>
      </c>
      <c r="BA106" s="87">
        <f t="shared" si="22"/>
        <v>17.34155832886406</v>
      </c>
      <c r="BL106" s="104">
        <f t="shared" si="42"/>
        <v>0</v>
      </c>
      <c r="BM106" s="87">
        <f t="shared" si="43"/>
        <v>0</v>
      </c>
    </row>
    <row r="107" spans="2:66" x14ac:dyDescent="0.25">
      <c r="B107" s="318" t="str">
        <f>D9&amp;" MVAR 3-Phase, "&amp;FIXED(D10,1)&amp;" Tuning"</f>
        <v>1000 MVAR 3-Phase, 4.6 Tuning</v>
      </c>
      <c r="C107" s="318"/>
      <c r="D107" s="318"/>
      <c r="G107" s="143"/>
      <c r="H107" s="205">
        <f>K78</f>
        <v>37</v>
      </c>
      <c r="I107" s="208">
        <f>K82*K86</f>
        <v>0</v>
      </c>
      <c r="AO107" s="87">
        <f t="shared" si="23"/>
        <v>21.399999999999956</v>
      </c>
      <c r="AP107" s="126" t="str">
        <f t="shared" si="40"/>
        <v>0.0001-0.848785640112745i</v>
      </c>
      <c r="AQ107" s="105" t="str">
        <f t="shared" si="14"/>
        <v>0.000000001-0.00000000000000001i</v>
      </c>
      <c r="AR107" s="105" t="str">
        <f t="shared" si="41"/>
        <v>0.00858412698412699+18.3700317460317i</v>
      </c>
      <c r="AS107" s="93" t="str">
        <f t="shared" si="16"/>
        <v>9999999999+9999999i</v>
      </c>
      <c r="AU107" s="87" t="str">
        <f t="shared" si="15"/>
        <v>0.00858412798412699+18.3700317460317i</v>
      </c>
      <c r="AV107" s="87" t="str">
        <f t="shared" si="17"/>
        <v>-97859019.2575995+183700403283.218i</v>
      </c>
      <c r="AW107" s="87" t="str">
        <f t="shared" si="18"/>
        <v>9999999999.00858+10000017.3700317i</v>
      </c>
      <c r="AX107" s="87" t="str">
        <f t="shared" si="19"/>
        <v>0.00858416172986088+18.3700317459664i</v>
      </c>
      <c r="AY107" s="87" t="str">
        <f t="shared" si="20"/>
        <v>0.00868416172986088+17.5212461058537i</v>
      </c>
      <c r="AZ107" s="87">
        <f t="shared" si="21"/>
        <v>21.399999999999956</v>
      </c>
      <c r="BA107" s="87">
        <f t="shared" si="22"/>
        <v>17.521248257945505</v>
      </c>
      <c r="BL107" s="104">
        <f t="shared" si="42"/>
        <v>0</v>
      </c>
      <c r="BM107" s="87">
        <f t="shared" si="43"/>
        <v>0</v>
      </c>
    </row>
    <row r="108" spans="2:66" ht="15.75" thickBot="1" x14ac:dyDescent="0.3">
      <c r="H108" s="209" t="s">
        <v>226</v>
      </c>
      <c r="I108" s="210">
        <f>BM109</f>
        <v>110.15216134568878</v>
      </c>
      <c r="J108" s="87" t="s">
        <v>0</v>
      </c>
      <c r="AO108" s="87">
        <f t="shared" si="23"/>
        <v>21.599999999999955</v>
      </c>
      <c r="AP108" s="126" t="str">
        <f t="shared" si="40"/>
        <v>0.0001-0.840926513815405i</v>
      </c>
      <c r="AQ108" s="105" t="str">
        <f t="shared" si="14"/>
        <v>0.000000001-0.00000000000000001i</v>
      </c>
      <c r="AR108" s="105" t="str">
        <f t="shared" si="41"/>
        <v>0.00858412698412699+18.5417142857143i</v>
      </c>
      <c r="AS108" s="93" t="str">
        <f t="shared" si="16"/>
        <v>9999999999+9999999i</v>
      </c>
      <c r="AU108" s="87" t="str">
        <f t="shared" si="15"/>
        <v>0.00858412798412699+18.5417142857143i</v>
      </c>
      <c r="AV108" s="87" t="str">
        <f t="shared" si="17"/>
        <v>-99575844.4827429+185417228679.873i</v>
      </c>
      <c r="AW108" s="87" t="str">
        <f t="shared" si="18"/>
        <v>9999999999.00858+10000017.5417143i</v>
      </c>
      <c r="AX108" s="87" t="str">
        <f t="shared" si="19"/>
        <v>0.00858416236357036+18.5417142856481i</v>
      </c>
      <c r="AY108" s="87" t="str">
        <f t="shared" si="20"/>
        <v>0.00868416236357036+17.7007877718327i</v>
      </c>
      <c r="AZ108" s="87">
        <f t="shared" si="21"/>
        <v>21.599999999999955</v>
      </c>
      <c r="BA108" s="87">
        <f t="shared" si="22"/>
        <v>17.700789902095838</v>
      </c>
      <c r="BL108" s="104"/>
      <c r="BM108" s="87">
        <f>SUM(BM92:BM107)</f>
        <v>12133.498649126654</v>
      </c>
    </row>
    <row r="109" spans="2:66" ht="15.75" thickTop="1" x14ac:dyDescent="0.25">
      <c r="I109" s="90" t="s">
        <v>0</v>
      </c>
      <c r="J109" s="216" t="s">
        <v>0</v>
      </c>
      <c r="AO109" s="87">
        <f t="shared" si="23"/>
        <v>21.799999999999955</v>
      </c>
      <c r="AP109" s="126" t="str">
        <f t="shared" si="40"/>
        <v>0.0001-0.833211591670309i</v>
      </c>
      <c r="AQ109" s="105" t="str">
        <f t="shared" si="14"/>
        <v>0.000000001-0.00000000000000001i</v>
      </c>
      <c r="AR109" s="105" t="str">
        <f t="shared" si="41"/>
        <v>0.00858412698412699+18.7133968253968i</v>
      </c>
      <c r="AS109" s="93" t="str">
        <f t="shared" si="16"/>
        <v>9999999999+9999999i</v>
      </c>
      <c r="AU109" s="87" t="str">
        <f t="shared" si="15"/>
        <v>0.00858412798412699+18.7133968253968i</v>
      </c>
      <c r="AV109" s="87" t="str">
        <f t="shared" si="17"/>
        <v>-101292669.707885+187134054076.526i</v>
      </c>
      <c r="AW109" s="87" t="str">
        <f t="shared" si="18"/>
        <v>9999999999.00858+10000017.7133968i</v>
      </c>
      <c r="AX109" s="87" t="str">
        <f t="shared" si="19"/>
        <v>0.00858416300317457+18.7133968253297i</v>
      </c>
      <c r="AY109" s="87" t="str">
        <f t="shared" si="20"/>
        <v>0.00868416300317457+17.8801852336594i</v>
      </c>
      <c r="AZ109" s="87">
        <f t="shared" si="21"/>
        <v>21.799999999999955</v>
      </c>
      <c r="BA109" s="87">
        <f t="shared" si="22"/>
        <v>17.880187342549259</v>
      </c>
      <c r="BL109" s="104"/>
      <c r="BM109" s="87">
        <f>SQRT(BM108)</f>
        <v>110.15216134568878</v>
      </c>
      <c r="BN109" s="87" t="s">
        <v>227</v>
      </c>
    </row>
    <row r="110" spans="2:66" x14ac:dyDescent="0.25">
      <c r="AO110" s="87">
        <f t="shared" si="23"/>
        <v>21.999999999999954</v>
      </c>
      <c r="AP110" s="126" t="str">
        <f t="shared" si="40"/>
        <v>0.0001-0.825636940836943i</v>
      </c>
      <c r="AQ110" s="105" t="str">
        <f t="shared" si="14"/>
        <v>0.000000001-0.00000000000000001i</v>
      </c>
      <c r="AR110" s="105" t="str">
        <f t="shared" si="41"/>
        <v>0.00858412698412699+18.8850793650793i</v>
      </c>
      <c r="AS110" s="93" t="str">
        <f t="shared" si="16"/>
        <v>9999999999+9999999i</v>
      </c>
      <c r="AU110" s="87" t="str">
        <f t="shared" si="15"/>
        <v>0.00858412798412699+18.8850793650793i</v>
      </c>
      <c r="AV110" s="87" t="str">
        <f t="shared" si="17"/>
        <v>-103009494.933028+188850879473.179i</v>
      </c>
      <c r="AW110" s="87" t="str">
        <f t="shared" si="18"/>
        <v>9999999999.00858+10000017.8850794i</v>
      </c>
      <c r="AX110" s="87" t="str">
        <f t="shared" si="19"/>
        <v>0.00858416364867385+18.8850793650112i</v>
      </c>
      <c r="AY110" s="87" t="str">
        <f t="shared" si="20"/>
        <v>0.00868416364867385+18.0594424241743i</v>
      </c>
      <c r="AZ110" s="87">
        <f t="shared" si="21"/>
        <v>21.999999999999954</v>
      </c>
      <c r="BA110" s="87">
        <f t="shared" si="22"/>
        <v>18.05944451213173</v>
      </c>
    </row>
    <row r="111" spans="2:66" x14ac:dyDescent="0.25">
      <c r="B111" s="74" t="s">
        <v>21</v>
      </c>
      <c r="C111" s="127"/>
      <c r="D111" s="127"/>
      <c r="E111" s="127"/>
      <c r="F111" s="127"/>
      <c r="G111" s="127"/>
      <c r="H111" s="127"/>
      <c r="I111" s="127"/>
      <c r="J111" s="127"/>
      <c r="K111" s="127"/>
      <c r="L111" s="127"/>
      <c r="AO111" s="87">
        <f t="shared" si="23"/>
        <v>22.199999999999953</v>
      </c>
      <c r="AP111" s="126" t="str">
        <f t="shared" si="40"/>
        <v>0.0001-0.818198770198772i</v>
      </c>
      <c r="AQ111" s="105" t="str">
        <f t="shared" si="14"/>
        <v>0.000000001-0.00000000000000001i</v>
      </c>
      <c r="AR111" s="105" t="str">
        <f t="shared" si="41"/>
        <v>0.00858412698412699+19.0567619047619i</v>
      </c>
      <c r="AS111" s="93" t="str">
        <f t="shared" si="16"/>
        <v>9999999999+9999999i</v>
      </c>
      <c r="AU111" s="87" t="str">
        <f t="shared" si="15"/>
        <v>0.00858412798412699+19.0567619047619i</v>
      </c>
      <c r="AV111" s="87" t="str">
        <f t="shared" si="17"/>
        <v>-104726320.158171+190567704869.833i</v>
      </c>
      <c r="AW111" s="87" t="str">
        <f t="shared" si="18"/>
        <v>9999999999.00858+10000018.0567619i</v>
      </c>
      <c r="AX111" s="87" t="str">
        <f t="shared" si="19"/>
        <v>0.00858416430006801+19.0567619046928i</v>
      </c>
      <c r="AY111" s="87" t="str">
        <f t="shared" si="20"/>
        <v>0.00868416430006801+18.238563134494i</v>
      </c>
      <c r="AZ111" s="87">
        <f t="shared" si="21"/>
        <v>22.199999999999953</v>
      </c>
      <c r="BA111" s="87">
        <f t="shared" si="22"/>
        <v>18.238565201945939</v>
      </c>
    </row>
    <row r="112" spans="2:66" ht="18" x14ac:dyDescent="0.35">
      <c r="B112" s="91" t="s">
        <v>36</v>
      </c>
      <c r="C112" s="87" t="s">
        <v>13</v>
      </c>
      <c r="AO112" s="87">
        <f t="shared" si="23"/>
        <v>22.399999999999952</v>
      </c>
      <c r="AP112" s="126" t="str">
        <f t="shared" si="40"/>
        <v>0.0001-0.810893424036283i</v>
      </c>
      <c r="AQ112" s="105" t="str">
        <f t="shared" si="14"/>
        <v>0.000000001-0.00000000000000001i</v>
      </c>
      <c r="AR112" s="105" t="str">
        <f t="shared" si="41"/>
        <v>0.00858412698412699+19.2284444444444i</v>
      </c>
      <c r="AS112" s="93" t="str">
        <f t="shared" si="16"/>
        <v>9999999999+9999999i</v>
      </c>
      <c r="AU112" s="87" t="str">
        <f t="shared" si="15"/>
        <v>0.00858412798412699+19.2284444444444i</v>
      </c>
      <c r="AV112" s="87" t="str">
        <f t="shared" si="17"/>
        <v>-106443145.383314+192284530266.487i</v>
      </c>
      <c r="AW112" s="87" t="str">
        <f t="shared" si="18"/>
        <v>9999999999.00858+10000018.2284444i</v>
      </c>
      <c r="AX112" s="87" t="str">
        <f t="shared" si="19"/>
        <v>0.00858416495735714+19.2284444443744i</v>
      </c>
      <c r="AY112" s="87" t="str">
        <f t="shared" si="20"/>
        <v>0.00868416495735714+18.4175510203381i</v>
      </c>
      <c r="AZ112" s="87">
        <f t="shared" si="21"/>
        <v>22.399999999999952</v>
      </c>
      <c r="BA112" s="87">
        <f t="shared" si="22"/>
        <v>18.417553067698162</v>
      </c>
    </row>
    <row r="113" spans="2:53" ht="18" x14ac:dyDescent="0.35">
      <c r="B113" s="91" t="s">
        <v>37</v>
      </c>
      <c r="C113" s="87" t="s">
        <v>61</v>
      </c>
      <c r="AO113" s="87">
        <f t="shared" si="23"/>
        <v>22.599999999999952</v>
      </c>
      <c r="AP113" s="126" t="str">
        <f t="shared" si="40"/>
        <v>0.0001-0.803717376035962i</v>
      </c>
      <c r="AQ113" s="105" t="str">
        <f t="shared" si="14"/>
        <v>0.000000001-0.00000000000000001i</v>
      </c>
      <c r="AR113" s="105" t="str">
        <f t="shared" si="41"/>
        <v>0.00858412698412699+19.4001269841269i</v>
      </c>
      <c r="AS113" s="93" t="str">
        <f t="shared" si="16"/>
        <v>9999999999+9999999i</v>
      </c>
      <c r="AU113" s="87" t="str">
        <f t="shared" si="15"/>
        <v>0.00858412798412699+19.4001269841269i</v>
      </c>
      <c r="AV113" s="87" t="str">
        <f t="shared" si="17"/>
        <v>-108159970.608456+194001355663.14i</v>
      </c>
      <c r="AW113" s="87" t="str">
        <f t="shared" si="18"/>
        <v>9999999999.00858+10000018.400127i</v>
      </c>
      <c r="AX113" s="87" t="str">
        <f t="shared" si="19"/>
        <v>0.00858416562054144+19.400126984056i</v>
      </c>
      <c r="AY113" s="87" t="str">
        <f t="shared" si="20"/>
        <v>0.00868416562054144+18.59640960802i</v>
      </c>
      <c r="AZ113" s="87">
        <f t="shared" si="21"/>
        <v>22.599999999999952</v>
      </c>
      <c r="BA113" s="87">
        <f t="shared" si="22"/>
        <v>18.596411635689051</v>
      </c>
    </row>
    <row r="114" spans="2:53" ht="18" x14ac:dyDescent="0.35">
      <c r="B114" s="91" t="s">
        <v>60</v>
      </c>
      <c r="C114" s="87" t="s">
        <v>62</v>
      </c>
      <c r="AO114" s="87">
        <f t="shared" si="23"/>
        <v>22.799999999999951</v>
      </c>
      <c r="AP114" s="126" t="str">
        <f t="shared" si="40"/>
        <v>0.0001-0.796667223614594i</v>
      </c>
      <c r="AQ114" s="105" t="str">
        <f t="shared" si="14"/>
        <v>0.000000001-0.00000000000000001i</v>
      </c>
      <c r="AR114" s="105" t="str">
        <f t="shared" si="41"/>
        <v>0.00858412698412699+19.5718095238095i</v>
      </c>
      <c r="AS114" s="93" t="str">
        <f t="shared" si="16"/>
        <v>9999999999+9999999i</v>
      </c>
      <c r="AU114" s="87" t="str">
        <f t="shared" si="15"/>
        <v>0.00858412798412699+19.5718095238095i</v>
      </c>
      <c r="AV114" s="87" t="str">
        <f t="shared" si="17"/>
        <v>-109876795.8336+195718181059.794i</v>
      </c>
      <c r="AW114" s="87" t="str">
        <f t="shared" si="18"/>
        <v>9999999999.00858+10000018.5718095i</v>
      </c>
      <c r="AX114" s="87" t="str">
        <f t="shared" si="19"/>
        <v>0.00858416628962042+19.5718095237376i</v>
      </c>
      <c r="AY114" s="87" t="str">
        <f t="shared" si="20"/>
        <v>0.00868416628962042+18.775142300123i</v>
      </c>
      <c r="AZ114" s="87">
        <f t="shared" si="21"/>
        <v>22.799999999999951</v>
      </c>
      <c r="BA114" s="87">
        <f t="shared" si="22"/>
        <v>18.775144308489676</v>
      </c>
    </row>
    <row r="115" spans="2:53" ht="18" x14ac:dyDescent="0.35">
      <c r="B115" s="91" t="s">
        <v>28</v>
      </c>
      <c r="C115" s="87" t="s">
        <v>63</v>
      </c>
      <c r="AO115" s="87">
        <f t="shared" si="23"/>
        <v>22.99999999999995</v>
      </c>
      <c r="AP115" s="126" t="str">
        <f t="shared" si="40"/>
        <v>0.0001-0.789739682539684i</v>
      </c>
      <c r="AQ115" s="105" t="str">
        <f t="shared" si="14"/>
        <v>0.000000001-0.00000000000000001i</v>
      </c>
      <c r="AR115" s="105" t="str">
        <f t="shared" si="41"/>
        <v>0.00858412698412699+19.743492063492i</v>
      </c>
      <c r="AS115" s="93" t="str">
        <f t="shared" si="16"/>
        <v>9999999999+9999999i</v>
      </c>
      <c r="AU115" s="87" t="str">
        <f t="shared" si="15"/>
        <v>0.00858412798412699+19.743492063492i</v>
      </c>
      <c r="AV115" s="87" t="str">
        <f t="shared" si="17"/>
        <v>-111593621.058742+197435006456.448i</v>
      </c>
      <c r="AW115" s="87" t="str">
        <f t="shared" si="18"/>
        <v>9999999999.00858+10000018.7434921i</v>
      </c>
      <c r="AX115" s="87" t="str">
        <f t="shared" si="19"/>
        <v>0.00858416696459476+19.7434920634192i</v>
      </c>
      <c r="AY115" s="87" t="str">
        <f t="shared" si="20"/>
        <v>0.00868416696459476+18.9537523808795i</v>
      </c>
      <c r="AZ115" s="87">
        <f t="shared" si="21"/>
        <v>22.99999999999995</v>
      </c>
      <c r="BA115" s="87">
        <f t="shared" si="22"/>
        <v>18.953754370320706</v>
      </c>
    </row>
    <row r="116" spans="2:53" ht="18" x14ac:dyDescent="0.35">
      <c r="B116" s="91" t="s">
        <v>38</v>
      </c>
      <c r="C116" s="87" t="s">
        <v>14</v>
      </c>
      <c r="AO116" s="87">
        <f t="shared" si="23"/>
        <v>23.19999999999995</v>
      </c>
      <c r="AP116" s="126" t="str">
        <f t="shared" si="40"/>
        <v>0.0001-0.782931581828135i</v>
      </c>
      <c r="AQ116" s="105" t="str">
        <f t="shared" si="14"/>
        <v>0.000000001-0.00000000000000001i</v>
      </c>
      <c r="AR116" s="105" t="str">
        <f t="shared" si="41"/>
        <v>0.00858412698412699+19.9151746031746i</v>
      </c>
      <c r="AS116" s="93" t="str">
        <f t="shared" si="16"/>
        <v>9999999999+9999999i</v>
      </c>
      <c r="AU116" s="87" t="str">
        <f t="shared" si="15"/>
        <v>0.00858412798412699+19.9151746031746i</v>
      </c>
      <c r="AV116" s="87" t="str">
        <f t="shared" si="17"/>
        <v>-113310446.283886+199151831853.102i</v>
      </c>
      <c r="AW116" s="87" t="str">
        <f t="shared" si="18"/>
        <v>9999999999.00858+10000018.9151746i</v>
      </c>
      <c r="AX116" s="87" t="str">
        <f t="shared" si="19"/>
        <v>0.00858416764546368+19.9151746031007i</v>
      </c>
      <c r="AY116" s="87" t="str">
        <f t="shared" si="20"/>
        <v>0.00868416764546368+19.1322430212726i</v>
      </c>
      <c r="AZ116" s="87">
        <f t="shared" si="21"/>
        <v>23.19999999999995</v>
      </c>
      <c r="BA116" s="87">
        <f t="shared" si="22"/>
        <v>19.132244992154003</v>
      </c>
    </row>
    <row r="117" spans="2:53" ht="18" x14ac:dyDescent="0.35">
      <c r="B117" s="91" t="s">
        <v>39</v>
      </c>
      <c r="C117" s="87" t="s">
        <v>15</v>
      </c>
      <c r="AO117" s="87">
        <f t="shared" si="23"/>
        <v>23.399999999999949</v>
      </c>
      <c r="AP117" s="126" t="str">
        <f t="shared" si="40"/>
        <v>0.0001-0.776239858906527i</v>
      </c>
      <c r="AQ117" s="105" t="str">
        <f t="shared" si="14"/>
        <v>0.000000001-0.00000000000000001i</v>
      </c>
      <c r="AR117" s="105" t="str">
        <f t="shared" si="41"/>
        <v>0.00858412698412699+20.0868571428571i</v>
      </c>
      <c r="AS117" s="93" t="str">
        <f t="shared" si="16"/>
        <v>9999999999+9999999i</v>
      </c>
      <c r="AU117" s="87" t="str">
        <f t="shared" si="15"/>
        <v>0.00858412798412699+20.0868571428571i</v>
      </c>
      <c r="AV117" s="87" t="str">
        <f t="shared" si="17"/>
        <v>-115027271.509028+200868657249.755i</v>
      </c>
      <c r="AW117" s="87" t="str">
        <f t="shared" si="18"/>
        <v>9999999999.00858+10000019.0868571i</v>
      </c>
      <c r="AX117" s="87" t="str">
        <f t="shared" si="19"/>
        <v>0.00858416833222767+20.0868571427822i</v>
      </c>
      <c r="AY117" s="87" t="str">
        <f t="shared" si="20"/>
        <v>0.00868416833222767+19.3106172838757i</v>
      </c>
      <c r="AZ117" s="87">
        <f t="shared" si="21"/>
        <v>23.399999999999949</v>
      </c>
      <c r="BA117" s="87">
        <f t="shared" si="22"/>
        <v>19.310619236552164</v>
      </c>
    </row>
    <row r="118" spans="2:53" ht="18" x14ac:dyDescent="0.35">
      <c r="B118" s="91" t="s">
        <v>40</v>
      </c>
      <c r="C118" s="87" t="s">
        <v>16</v>
      </c>
      <c r="AO118" s="87">
        <f t="shared" si="23"/>
        <v>23.599999999999948</v>
      </c>
      <c r="AP118" s="126" t="str">
        <f t="shared" si="40"/>
        <v>0.0001-0.769661555017489i</v>
      </c>
      <c r="AQ118" s="105" t="str">
        <f t="shared" si="14"/>
        <v>0.000000001-0.00000000000000001i</v>
      </c>
      <c r="AR118" s="105" t="str">
        <f t="shared" si="41"/>
        <v>0.00858412698412699+20.2585396825396i</v>
      </c>
      <c r="AS118" s="93" t="str">
        <f t="shared" si="16"/>
        <v>9999999999+9999999i</v>
      </c>
      <c r="AU118" s="87" t="str">
        <f t="shared" si="15"/>
        <v>0.00858412798412699+20.2585396825396i</v>
      </c>
      <c r="AV118" s="87" t="str">
        <f t="shared" si="17"/>
        <v>-116744096.734171+202585482646.409i</v>
      </c>
      <c r="AW118" s="87" t="str">
        <f t="shared" si="18"/>
        <v>9999999999.00858+10000019.2585397i</v>
      </c>
      <c r="AX118" s="87" t="str">
        <f t="shared" si="19"/>
        <v>0.00858416902488684+20.2585396824638i</v>
      </c>
      <c r="AY118" s="87" t="str">
        <f t="shared" si="20"/>
        <v>0.00868416902488684+19.4888781274463i</v>
      </c>
      <c r="AZ118" s="87">
        <f t="shared" si="21"/>
        <v>23.599999999999948</v>
      </c>
      <c r="BA118" s="87">
        <f t="shared" si="22"/>
        <v>19.488880062262336</v>
      </c>
    </row>
    <row r="119" spans="2:53" x14ac:dyDescent="0.25">
      <c r="B119" s="91" t="s">
        <v>4</v>
      </c>
      <c r="C119" s="87" t="s">
        <v>20</v>
      </c>
      <c r="AO119" s="87">
        <f t="shared" si="23"/>
        <v>23.799999999999947</v>
      </c>
      <c r="AP119" s="126" t="str">
        <f t="shared" si="40"/>
        <v>0.0001-0.763193810857678i</v>
      </c>
      <c r="AQ119" s="105" t="str">
        <f t="shared" si="14"/>
        <v>0.000000001-0.00000000000000001i</v>
      </c>
      <c r="AR119" s="105" t="str">
        <f t="shared" si="41"/>
        <v>0.00858412698412699+20.4302222222222i</v>
      </c>
      <c r="AS119" s="93" t="str">
        <f t="shared" si="16"/>
        <v>9999999999+9999999i</v>
      </c>
      <c r="AU119" s="87" t="str">
        <f t="shared" si="15"/>
        <v>0.00858412798412699+20.4302222222222i</v>
      </c>
      <c r="AV119" s="87" t="str">
        <f t="shared" si="17"/>
        <v>-118460921.959314+204302308043.063i</v>
      </c>
      <c r="AW119" s="87" t="str">
        <f t="shared" si="18"/>
        <v>9999999999.00858+10000019.4302222i</v>
      </c>
      <c r="AX119" s="87" t="str">
        <f t="shared" si="19"/>
        <v>0.00858416972344078+20.4302222221454i</v>
      </c>
      <c r="AY119" s="87" t="str">
        <f t="shared" si="20"/>
        <v>0.00868416972344078+19.6670284112877i</v>
      </c>
      <c r="AZ119" s="87">
        <f t="shared" si="21"/>
        <v>23.799999999999947</v>
      </c>
      <c r="BA119" s="87">
        <f t="shared" si="22"/>
        <v>19.667030328577862</v>
      </c>
    </row>
    <row r="120" spans="2:53" x14ac:dyDescent="0.25">
      <c r="B120" s="91" t="s">
        <v>7</v>
      </c>
      <c r="C120" s="87" t="s">
        <v>10</v>
      </c>
      <c r="AO120" s="87">
        <f t="shared" si="23"/>
        <v>23.999999999999947</v>
      </c>
      <c r="AP120" s="126" t="str">
        <f t="shared" si="40"/>
        <v>0.0001-0.756833862433864i</v>
      </c>
      <c r="AQ120" s="105" t="str">
        <f t="shared" si="14"/>
        <v>0.000000001-0.00000000000000001i</v>
      </c>
      <c r="AR120" s="105" t="str">
        <f t="shared" si="41"/>
        <v>0.00858412698412699+20.6019047619047i</v>
      </c>
      <c r="AS120" s="93" t="str">
        <f t="shared" si="16"/>
        <v>9999999999+9999999i</v>
      </c>
      <c r="AU120" s="87" t="str">
        <f t="shared" si="15"/>
        <v>0.00858412798412699+20.6019047619047i</v>
      </c>
      <c r="AV120" s="87" t="str">
        <f t="shared" si="17"/>
        <v>-120177747.184456+206019133439.716i</v>
      </c>
      <c r="AW120" s="87" t="str">
        <f t="shared" si="18"/>
        <v>9999999999.00858+10000019.6019048i</v>
      </c>
      <c r="AX120" s="87" t="str">
        <f t="shared" si="19"/>
        <v>0.0085841704278899+20.6019047618269i</v>
      </c>
      <c r="AY120" s="87" t="str">
        <f t="shared" si="20"/>
        <v>0.0086841704278899+19.845070899393i</v>
      </c>
      <c r="AZ120" s="87">
        <f t="shared" si="21"/>
        <v>23.999999999999947</v>
      </c>
      <c r="BA120" s="87">
        <f t="shared" si="22"/>
        <v>19.845072799482267</v>
      </c>
    </row>
    <row r="121" spans="2:53" x14ac:dyDescent="0.25">
      <c r="B121" s="91" t="s">
        <v>6</v>
      </c>
      <c r="C121" s="87" t="s">
        <v>18</v>
      </c>
      <c r="AO121" s="87">
        <f t="shared" si="23"/>
        <v>24.199999999999946</v>
      </c>
      <c r="AP121" s="126" t="str">
        <f t="shared" si="40"/>
        <v>0.0001-0.750579037124493i</v>
      </c>
      <c r="AQ121" s="105" t="str">
        <f t="shared" si="14"/>
        <v>0.000000001-0.00000000000000001i</v>
      </c>
      <c r="AR121" s="105" t="str">
        <f t="shared" si="41"/>
        <v>0.00858412698412699+20.7735873015873i</v>
      </c>
      <c r="AS121" s="93" t="str">
        <f t="shared" si="16"/>
        <v>9999999999+9999999i</v>
      </c>
      <c r="AU121" s="87" t="str">
        <f t="shared" si="15"/>
        <v>0.00858412798412699+20.7735873015873i</v>
      </c>
      <c r="AV121" s="87" t="str">
        <f t="shared" si="17"/>
        <v>-121894572.4096+207735958836.371i</v>
      </c>
      <c r="AW121" s="87" t="str">
        <f t="shared" si="18"/>
        <v>9999999999.00858+10000019.7735873i</v>
      </c>
      <c r="AX121" s="87" t="str">
        <f t="shared" si="19"/>
        <v>0.00858417113823378+20.7735873015085i</v>
      </c>
      <c r="AY121" s="87" t="str">
        <f t="shared" si="20"/>
        <v>0.00868417113823378+20.023008264384i</v>
      </c>
      <c r="AZ121" s="87">
        <f t="shared" si="21"/>
        <v>24.199999999999946</v>
      </c>
      <c r="BA121" s="87">
        <f t="shared" si="22"/>
        <v>20.02301014758816</v>
      </c>
    </row>
    <row r="122" spans="2:53" ht="18" x14ac:dyDescent="0.35">
      <c r="B122" s="91" t="s">
        <v>41</v>
      </c>
      <c r="C122" s="87" t="s">
        <v>17</v>
      </c>
      <c r="AO122" s="87">
        <f t="shared" si="23"/>
        <v>24.399999999999945</v>
      </c>
      <c r="AP122" s="126" t="str">
        <f t="shared" si="40"/>
        <v>0.0001-0.744426749934949i</v>
      </c>
      <c r="AQ122" s="105" t="str">
        <f t="shared" si="14"/>
        <v>0.000000001-0.00000000000000001i</v>
      </c>
      <c r="AR122" s="105" t="str">
        <f t="shared" si="41"/>
        <v>0.00858412698412699+20.9452698412698i</v>
      </c>
      <c r="AS122" s="93" t="str">
        <f t="shared" si="16"/>
        <v>9999999999+9999999i</v>
      </c>
      <c r="AU122" s="87" t="str">
        <f t="shared" si="15"/>
        <v>0.00858412798412699+20.9452698412698i</v>
      </c>
      <c r="AV122" s="87" t="str">
        <f t="shared" si="17"/>
        <v>-123611397.634742+209452784233.024i</v>
      </c>
      <c r="AW122" s="87" t="str">
        <f t="shared" si="18"/>
        <v>9999999999.00858+10000019.9452698i</v>
      </c>
      <c r="AX122" s="87" t="str">
        <f t="shared" si="19"/>
        <v>0.00858417185447263+20.94526984119i</v>
      </c>
      <c r="AY122" s="87" t="str">
        <f t="shared" si="20"/>
        <v>0.00868417185447263+20.2008430912551i</v>
      </c>
      <c r="AZ122" s="87">
        <f t="shared" si="21"/>
        <v>24.399999999999945</v>
      </c>
      <c r="BA122" s="87">
        <f t="shared" si="22"/>
        <v>20.200844957881081</v>
      </c>
    </row>
    <row r="123" spans="2:53" ht="18" x14ac:dyDescent="0.35">
      <c r="B123" s="91" t="s">
        <v>42</v>
      </c>
      <c r="C123" s="87" t="s">
        <v>19</v>
      </c>
      <c r="AO123" s="87">
        <f t="shared" si="23"/>
        <v>24.599999999999945</v>
      </c>
      <c r="AP123" s="126" t="str">
        <f t="shared" si="40"/>
        <v>0.0001-0.738374499935477i</v>
      </c>
      <c r="AQ123" s="105" t="str">
        <f t="shared" si="14"/>
        <v>0.000000001-0.00000000000000001i</v>
      </c>
      <c r="AR123" s="105" t="str">
        <f t="shared" si="41"/>
        <v>0.00858412698412699+21.1169523809523i</v>
      </c>
      <c r="AS123" s="93" t="str">
        <f t="shared" si="16"/>
        <v>9999999999+9999999i</v>
      </c>
      <c r="AU123" s="87" t="str">
        <f t="shared" si="15"/>
        <v>0.00858412798412699+21.1169523809523i</v>
      </c>
      <c r="AV123" s="87" t="str">
        <f t="shared" si="17"/>
        <v>-125328222.859885+211169609629.677i</v>
      </c>
      <c r="AW123" s="87" t="str">
        <f t="shared" si="18"/>
        <v>9999999999.00858+10000020.1169524i</v>
      </c>
      <c r="AX123" s="87" t="str">
        <f t="shared" si="19"/>
        <v>0.00858417257660657+21.1169523808714i</v>
      </c>
      <c r="AY123" s="87" t="str">
        <f t="shared" si="20"/>
        <v>0.00868417257660657+20.3785778809359i</v>
      </c>
      <c r="AZ123" s="87">
        <f t="shared" si="21"/>
        <v>24.599999999999945</v>
      </c>
      <c r="BA123" s="87">
        <f t="shared" si="22"/>
        <v>20.378579731282137</v>
      </c>
    </row>
    <row r="124" spans="2:53" ht="18" x14ac:dyDescent="0.35">
      <c r="B124" s="91" t="s">
        <v>43</v>
      </c>
      <c r="C124" s="87" t="s">
        <v>22</v>
      </c>
      <c r="AO124" s="87">
        <f t="shared" si="23"/>
        <v>24.799999999999944</v>
      </c>
      <c r="AP124" s="126" t="str">
        <f t="shared" si="40"/>
        <v>0.0001-0.732419866871482i</v>
      </c>
      <c r="AQ124" s="105" t="str">
        <f t="shared" si="14"/>
        <v>0.000000001-0.00000000000000001i</v>
      </c>
      <c r="AR124" s="105" t="str">
        <f t="shared" si="41"/>
        <v>0.00858412698412699+21.2886349206349i</v>
      </c>
      <c r="AS124" s="93" t="str">
        <f t="shared" si="16"/>
        <v>9999999999+9999999i</v>
      </c>
      <c r="AU124" s="87" t="str">
        <f t="shared" si="15"/>
        <v>0.00858412798412699+21.2886349206349i</v>
      </c>
      <c r="AV124" s="87" t="str">
        <f t="shared" si="17"/>
        <v>-127045048.085028+212886435026.332i</v>
      </c>
      <c r="AW124" s="87" t="str">
        <f t="shared" si="18"/>
        <v>9999999999.00858+10000020.2886349i</v>
      </c>
      <c r="AX124" s="87" t="str">
        <f t="shared" si="19"/>
        <v>0.00858417330463547+21.2886349205531i</v>
      </c>
      <c r="AY124" s="87" t="str">
        <f t="shared" si="20"/>
        <v>0.00868417330463547+20.5562150536816i</v>
      </c>
      <c r="AZ124" s="87">
        <f t="shared" si="21"/>
        <v>24.799999999999944</v>
      </c>
      <c r="BA124" s="87">
        <f t="shared" si="22"/>
        <v>20.556216888038325</v>
      </c>
    </row>
    <row r="125" spans="2:53" ht="18" x14ac:dyDescent="0.35">
      <c r="B125" s="91" t="s">
        <v>34</v>
      </c>
      <c r="C125" s="87" t="s">
        <v>23</v>
      </c>
      <c r="AO125" s="87">
        <f t="shared" si="23"/>
        <v>24.999999999999943</v>
      </c>
      <c r="AP125" s="126" t="str">
        <f t="shared" si="40"/>
        <v>0.0001-0.72656050793651i</v>
      </c>
      <c r="AQ125" s="105" t="str">
        <f t="shared" si="14"/>
        <v>0.000000001-0.00000000000000001i</v>
      </c>
      <c r="AR125" s="105" t="str">
        <f t="shared" si="41"/>
        <v>0.00858412698412699+21.4603174603174i</v>
      </c>
      <c r="AS125" s="93" t="str">
        <f t="shared" si="16"/>
        <v>9999999999+9999999i</v>
      </c>
      <c r="AU125" s="87" t="str">
        <f t="shared" si="15"/>
        <v>0.00858412798412699+21.4603174603174i</v>
      </c>
      <c r="AV125" s="87" t="str">
        <f t="shared" si="17"/>
        <v>-128761873.310171+214603260422.985i</v>
      </c>
      <c r="AW125" s="87" t="str">
        <f t="shared" si="18"/>
        <v>9999999999.00858+10000020.4603175i</v>
      </c>
      <c r="AX125" s="87" t="str">
        <f t="shared" si="19"/>
        <v>0.00858417403855936+21.4603174602345i</v>
      </c>
      <c r="AY125" s="87" t="str">
        <f t="shared" si="20"/>
        <v>0.00868417403855936+20.733756952298i</v>
      </c>
      <c r="AZ125" s="87">
        <f t="shared" si="21"/>
        <v>24.999999999999943</v>
      </c>
      <c r="BA125" s="87">
        <f t="shared" si="22"/>
        <v>20.733758770947546</v>
      </c>
    </row>
    <row r="126" spans="2:53" ht="18" x14ac:dyDescent="0.35">
      <c r="B126" s="91" t="s">
        <v>35</v>
      </c>
      <c r="C126" s="87" t="s">
        <v>24</v>
      </c>
      <c r="AO126" s="87">
        <f t="shared" si="23"/>
        <v>25.199999999999942</v>
      </c>
      <c r="AP126" s="126" t="str">
        <f t="shared" si="40"/>
        <v>0.0001-0.720794154698918i</v>
      </c>
      <c r="AQ126" s="105" t="str">
        <f t="shared" si="14"/>
        <v>0.000000001-0.00000000000000001i</v>
      </c>
      <c r="AR126" s="105" t="str">
        <f t="shared" si="41"/>
        <v>0.00858412698412699+21.632i</v>
      </c>
      <c r="AS126" s="93" t="str">
        <f t="shared" si="16"/>
        <v>9999999999+9999999i</v>
      </c>
      <c r="AU126" s="87" t="str">
        <f t="shared" si="15"/>
        <v>0.00858412798412699+21.632i</v>
      </c>
      <c r="AV126" s="87" t="str">
        <f t="shared" si="17"/>
        <v>-130478698.535314+216320085819.639i</v>
      </c>
      <c r="AW126" s="87" t="str">
        <f t="shared" si="18"/>
        <v>9999999999.00858+10000020.632i</v>
      </c>
      <c r="AX126" s="87" t="str">
        <f t="shared" si="19"/>
        <v>0.0085841747783781+21.6319999999161i</v>
      </c>
      <c r="AY126" s="87" t="str">
        <f t="shared" si="20"/>
        <v>0.0086841747783781+20.9112058452172i</v>
      </c>
      <c r="AZ126" s="87">
        <f t="shared" si="21"/>
        <v>25.199999999999942</v>
      </c>
      <c r="BA126" s="87">
        <f t="shared" si="22"/>
        <v>20.911207648434306</v>
      </c>
    </row>
    <row r="127" spans="2:53" x14ac:dyDescent="0.25">
      <c r="B127" s="91" t="s">
        <v>48</v>
      </c>
      <c r="C127" s="87" t="s">
        <v>49</v>
      </c>
      <c r="AO127" s="87">
        <f t="shared" si="23"/>
        <v>25.399999999999942</v>
      </c>
      <c r="AP127" s="126" t="str">
        <f t="shared" si="40"/>
        <v>0.0001-0.71511861017373i</v>
      </c>
      <c r="AQ127" s="105" t="str">
        <f t="shared" si="14"/>
        <v>0.000000001-0.00000000000000001i</v>
      </c>
      <c r="AR127" s="105" t="str">
        <f t="shared" si="41"/>
        <v>0.00858412698412699+21.8036825396825i</v>
      </c>
      <c r="AS127" s="93" t="str">
        <f t="shared" si="16"/>
        <v>9999999999+9999999i</v>
      </c>
      <c r="AU127" s="87" t="str">
        <f t="shared" si="15"/>
        <v>0.00858412798412699+21.8036825396825i</v>
      </c>
      <c r="AV127" s="87" t="str">
        <f t="shared" si="17"/>
        <v>-132195523.760457+218036911216.293i</v>
      </c>
      <c r="AW127" s="87" t="str">
        <f t="shared" si="18"/>
        <v>9999999999.00858+10000020.8036825i</v>
      </c>
      <c r="AX127" s="87" t="str">
        <f t="shared" si="19"/>
        <v>0.00858417552409182+21.8036825395976i</v>
      </c>
      <c r="AY127" s="87" t="str">
        <f t="shared" si="20"/>
        <v>0.00868417552409182+21.0885639294239i</v>
      </c>
      <c r="AZ127" s="87">
        <f t="shared" si="21"/>
        <v>25.399999999999942</v>
      </c>
      <c r="BA127" s="87">
        <f t="shared" si="22"/>
        <v>21.08856571747598</v>
      </c>
    </row>
    <row r="128" spans="2:53" ht="18" x14ac:dyDescent="0.35">
      <c r="B128" s="91" t="s">
        <v>50</v>
      </c>
      <c r="C128" s="87" t="s">
        <v>51</v>
      </c>
      <c r="AO128" s="87">
        <f t="shared" si="23"/>
        <v>25.599999999999941</v>
      </c>
      <c r="AP128" s="126" t="str">
        <f t="shared" si="40"/>
        <v>0.0001-0.709531746031748i</v>
      </c>
      <c r="AQ128" s="105" t="str">
        <f t="shared" si="14"/>
        <v>0.000000001-0.00000000000000001i</v>
      </c>
      <c r="AR128" s="105" t="str">
        <f t="shared" si="41"/>
        <v>0.00858412698412699+21.975365079365i</v>
      </c>
      <c r="AS128" s="93" t="str">
        <f t="shared" si="16"/>
        <v>9999999999+9999999i</v>
      </c>
      <c r="AU128" s="87" t="str">
        <f t="shared" si="15"/>
        <v>0.00858412798412699+21.975365079365i</v>
      </c>
      <c r="AV128" s="87" t="str">
        <f t="shared" si="17"/>
        <v>-133912348.985599+219753736612.946i</v>
      </c>
      <c r="AW128" s="87" t="str">
        <f t="shared" si="18"/>
        <v>9999999999.00858+10000020.9753651i</v>
      </c>
      <c r="AX128" s="87" t="str">
        <f t="shared" si="19"/>
        <v>0.00858417627570073+21.975365079279i</v>
      </c>
      <c r="AY128" s="87" t="str">
        <f t="shared" si="20"/>
        <v>0.00868417627570073+21.2658333332473i</v>
      </c>
      <c r="AZ128" s="87">
        <f t="shared" si="21"/>
        <v>25.599999999999941</v>
      </c>
      <c r="BA128" s="87">
        <f t="shared" si="22"/>
        <v>21.265835106394707</v>
      </c>
    </row>
    <row r="129" spans="2:53" ht="18" x14ac:dyDescent="0.35">
      <c r="B129" s="91" t="s">
        <v>52</v>
      </c>
      <c r="C129" s="87" t="s">
        <v>55</v>
      </c>
      <c r="AO129" s="87">
        <f t="shared" si="23"/>
        <v>25.79999999999994</v>
      </c>
      <c r="AP129" s="126" t="str">
        <f t="shared" si="40"/>
        <v>0.0001-0.704031499938478i</v>
      </c>
      <c r="AQ129" s="105" t="str">
        <f t="shared" si="14"/>
        <v>0.000000001-0.00000000000000001i</v>
      </c>
      <c r="AR129" s="105" t="str">
        <f t="shared" si="41"/>
        <v>0.00858412698412699+22.1470476190476i</v>
      </c>
      <c r="AS129" s="93" t="str">
        <f t="shared" si="16"/>
        <v>9999999999+9999999i</v>
      </c>
      <c r="AU129" s="87" t="str">
        <f t="shared" si="15"/>
        <v>0.00858412798412699+22.1470476190476i</v>
      </c>
      <c r="AV129" s="87" t="str">
        <f t="shared" si="17"/>
        <v>-135629174.210743+221470562009.6i</v>
      </c>
      <c r="AW129" s="87" t="str">
        <f t="shared" si="18"/>
        <v>9999999999.00858+10000021.1470476i</v>
      </c>
      <c r="AX129" s="87" t="str">
        <f t="shared" si="19"/>
        <v>0.00858417703320429+22.1470476189605i</v>
      </c>
      <c r="AY129" s="87" t="str">
        <f t="shared" si="20"/>
        <v>0.00868417703320429+21.443016119022i</v>
      </c>
      <c r="AZ129" s="87">
        <f t="shared" si="21"/>
        <v>25.79999999999994</v>
      </c>
      <c r="BA129" s="87">
        <f t="shared" si="22"/>
        <v>21.443017877518272</v>
      </c>
    </row>
    <row r="130" spans="2:53" ht="18" x14ac:dyDescent="0.35">
      <c r="B130" s="91" t="s">
        <v>54</v>
      </c>
      <c r="C130" s="87" t="s">
        <v>56</v>
      </c>
      <c r="AO130" s="87">
        <f t="shared" si="23"/>
        <v>25.99999999999994</v>
      </c>
      <c r="AP130" s="126" t="str">
        <f t="shared" si="40"/>
        <v>0.0001-0.698615873015875i</v>
      </c>
      <c r="AQ130" s="105" t="str">
        <f t="shared" si="14"/>
        <v>0.000000001-0.00000000000000001i</v>
      </c>
      <c r="AR130" s="105" t="str">
        <f t="shared" si="41"/>
        <v>0.00858412698412699+22.3187301587301i</v>
      </c>
      <c r="AS130" s="93" t="str">
        <f t="shared" si="16"/>
        <v>9999999999+9999999i</v>
      </c>
      <c r="AU130" s="87" t="str">
        <f t="shared" si="15"/>
        <v>0.00858412798412699+22.3187301587301i</v>
      </c>
      <c r="AV130" s="87" t="str">
        <f t="shared" si="17"/>
        <v>-137345999.435885+223187387406.254i</v>
      </c>
      <c r="AW130" s="87" t="str">
        <f t="shared" si="18"/>
        <v>9999999999.00858+10000021.3187302i</v>
      </c>
      <c r="AX130" s="87" t="str">
        <f t="shared" si="19"/>
        <v>0.00858417779660325+22.318730158642i</v>
      </c>
      <c r="AY130" s="87" t="str">
        <f t="shared" si="20"/>
        <v>0.00868417779660325+21.6201142856261i</v>
      </c>
      <c r="AZ130" s="87">
        <f t="shared" si="21"/>
        <v>25.99999999999994</v>
      </c>
      <c r="BA130" s="87">
        <f t="shared" si="22"/>
        <v>21.620116029718201</v>
      </c>
    </row>
    <row r="131" spans="2:53" x14ac:dyDescent="0.25">
      <c r="B131" s="96" t="s">
        <v>70</v>
      </c>
      <c r="C131" s="96" t="s">
        <v>71</v>
      </c>
      <c r="D131" s="96"/>
      <c r="E131" s="96"/>
      <c r="F131" s="96"/>
      <c r="G131" s="96"/>
      <c r="H131" s="96"/>
      <c r="I131" s="96"/>
      <c r="J131" s="96"/>
      <c r="K131" s="96"/>
      <c r="L131" s="96"/>
      <c r="AO131" s="87">
        <f t="shared" si="23"/>
        <v>26.199999999999939</v>
      </c>
      <c r="AP131" s="126" t="str">
        <f t="shared" si="40"/>
        <v>0.0001-0.693282927420334i</v>
      </c>
      <c r="AQ131" s="105" t="str">
        <f t="shared" si="14"/>
        <v>0.000000001-0.00000000000000001i</v>
      </c>
      <c r="AR131" s="105" t="str">
        <f t="shared" si="41"/>
        <v>0.00858412698412699+22.4904126984127i</v>
      </c>
      <c r="AS131" s="93" t="str">
        <f t="shared" si="16"/>
        <v>9999999999+9999999i</v>
      </c>
      <c r="AU131" s="87" t="str">
        <f t="shared" si="15"/>
        <v>0.00858412798412699+22.4904126984127i</v>
      </c>
      <c r="AV131" s="87" t="str">
        <f t="shared" si="17"/>
        <v>-139062824.661029+224904212802.908i</v>
      </c>
      <c r="AW131" s="87" t="str">
        <f t="shared" si="18"/>
        <v>9999999999.00858+10000021.4904127i</v>
      </c>
      <c r="AX131" s="87" t="str">
        <f t="shared" si="19"/>
        <v>0.00858417856589675+22.4904126983235i</v>
      </c>
      <c r="AY131" s="87" t="str">
        <f t="shared" si="20"/>
        <v>0.00868417856589675+21.7971297709032i</v>
      </c>
      <c r="AZ131" s="87">
        <f t="shared" si="21"/>
        <v>26.199999999999939</v>
      </c>
      <c r="BA131" s="87">
        <f t="shared" si="22"/>
        <v>21.797131500831753</v>
      </c>
    </row>
    <row r="132" spans="2:53" x14ac:dyDescent="0.25">
      <c r="B132" s="88" t="s">
        <v>44</v>
      </c>
      <c r="AO132" s="87">
        <f t="shared" si="23"/>
        <v>26.399999999999938</v>
      </c>
      <c r="AP132" s="126" t="str">
        <f t="shared" si="40"/>
        <v>0.0001-0.688030784030786i</v>
      </c>
      <c r="AQ132" s="105" t="str">
        <f t="shared" si="14"/>
        <v>0.000000001-0.00000000000000001i</v>
      </c>
      <c r="AR132" s="105" t="str">
        <f t="shared" si="41"/>
        <v>0.00858412698412699+22.6620952380952i</v>
      </c>
      <c r="AS132" s="93" t="str">
        <f t="shared" si="16"/>
        <v>9999999999+9999999i</v>
      </c>
      <c r="AU132" s="87" t="str">
        <f t="shared" si="15"/>
        <v>0.00858412798412699+22.6620952380952i</v>
      </c>
      <c r="AV132" s="87" t="str">
        <f t="shared" si="17"/>
        <v>-140779649.886171+226621038199.561i</v>
      </c>
      <c r="AW132" s="87" t="str">
        <f t="shared" si="18"/>
        <v>9999999999.00858+10000021.6620952i</v>
      </c>
      <c r="AX132" s="87" t="str">
        <f t="shared" si="19"/>
        <v>0.00858417934108533+22.6620952380049i</v>
      </c>
      <c r="AY132" s="87" t="str">
        <f t="shared" si="20"/>
        <v>0.00868417934108533+21.9740644539741i</v>
      </c>
      <c r="AZ132" s="87">
        <f t="shared" si="21"/>
        <v>26.399999999999938</v>
      </c>
      <c r="BA132" s="87">
        <f t="shared" si="22"/>
        <v>21.974066169973614</v>
      </c>
    </row>
    <row r="133" spans="2:53" x14ac:dyDescent="0.25">
      <c r="AO133" s="87">
        <f t="shared" si="23"/>
        <v>26.599999999999937</v>
      </c>
      <c r="AP133" s="126" t="str">
        <f t="shared" si="40"/>
        <v>0.0001-0.682857620241081i</v>
      </c>
      <c r="AQ133" s="105" t="str">
        <f t="shared" ref="AQ133:AQ196" si="48">COMPLEX(0.000000001,-1*0.00000000000000001)</f>
        <v>0.000000001-0.00000000000000001i</v>
      </c>
      <c r="AR133" s="105" t="str">
        <f t="shared" si="41"/>
        <v>0.00858412698412699+22.8337777777777i</v>
      </c>
      <c r="AS133" s="93" t="str">
        <f t="shared" si="16"/>
        <v>9999999999+9999999i</v>
      </c>
      <c r="AU133" s="87" t="str">
        <f t="shared" ref="AU133:AU196" si="49">IMSUM(AR133,AQ133)</f>
        <v>0.00858412798412699+22.8337777777777i</v>
      </c>
      <c r="AV133" s="87" t="str">
        <f t="shared" si="17"/>
        <v>-142496475.111313+228337863596.215i</v>
      </c>
      <c r="AW133" s="87" t="str">
        <f t="shared" si="18"/>
        <v>9999999999.00858+10000021.8337778i</v>
      </c>
      <c r="AX133" s="87" t="str">
        <f t="shared" si="19"/>
        <v>0.00858418012216921+22.8337777776864i</v>
      </c>
      <c r="AY133" s="87" t="str">
        <f t="shared" si="20"/>
        <v>0.00868418012216921+22.1509201574453i</v>
      </c>
      <c r="AZ133" s="87">
        <f t="shared" si="21"/>
        <v>26.599999999999937</v>
      </c>
      <c r="BA133" s="87">
        <f t="shared" si="22"/>
        <v>22.150921859744368</v>
      </c>
    </row>
    <row r="134" spans="2:53" x14ac:dyDescent="0.25">
      <c r="AO134" s="87">
        <f t="shared" si="23"/>
        <v>26.799999999999937</v>
      </c>
      <c r="AP134" s="126" t="str">
        <f t="shared" si="40"/>
        <v>0.0001-0.677761667851222i</v>
      </c>
      <c r="AQ134" s="105" t="str">
        <f t="shared" si="48"/>
        <v>0.000000001-0.00000000000000001i</v>
      </c>
      <c r="AR134" s="105" t="str">
        <f t="shared" si="41"/>
        <v>0.00858412698412699+23.0054603174603i</v>
      </c>
      <c r="AS134" s="93" t="str">
        <f t="shared" ref="AS134:AS197" si="50">COMPLEX(9999999999,9999999)</f>
        <v>9999999999+9999999i</v>
      </c>
      <c r="AU134" s="87" t="str">
        <f t="shared" si="49"/>
        <v>0.00858412798412699+23.0054603174603i</v>
      </c>
      <c r="AV134" s="87" t="str">
        <f t="shared" ref="AV134:AV197" si="51">IMPRODUCT(AU134,AS134)</f>
        <v>-144213300.336457+230054688992.869i</v>
      </c>
      <c r="AW134" s="87" t="str">
        <f t="shared" ref="AW134:AW197" si="52">IMSUM(AS134,AU134)</f>
        <v>9999999999.00858+10000022.0054603i</v>
      </c>
      <c r="AX134" s="87" t="str">
        <f t="shared" ref="AX134:AX197" si="53">IMDIV(AV134,AW134)</f>
        <v>0.00858418090914763+23.0054603173679i</v>
      </c>
      <c r="AY134" s="87" t="str">
        <f t="shared" ref="AY134:AY197" si="54">IMSUM(AX134,AP134)</f>
        <v>0.00868418090914763+22.3276986495167i</v>
      </c>
      <c r="AZ134" s="87">
        <f t="shared" ref="AZ134:AZ197" si="55">AO134</f>
        <v>26.799999999999937</v>
      </c>
      <c r="BA134" s="87">
        <f t="shared" ref="BA134:BA197" si="56">IMABS(AY134)</f>
        <v>22.327700338338207</v>
      </c>
    </row>
    <row r="135" spans="2:53" x14ac:dyDescent="0.25">
      <c r="B135" s="87" t="s">
        <v>0</v>
      </c>
      <c r="AO135" s="87">
        <f t="shared" ref="AO135:AO198" si="57">AO134+0.2</f>
        <v>26.999999999999936</v>
      </c>
      <c r="AP135" s="126" t="str">
        <f t="shared" si="40"/>
        <v>0.0001-0.672741211052324i</v>
      </c>
      <c r="AQ135" s="105" t="str">
        <f t="shared" si="48"/>
        <v>0.000000001-0.00000000000000001i</v>
      </c>
      <c r="AR135" s="105" t="str">
        <f t="shared" si="41"/>
        <v>0.00858412698412699+23.1771428571428i</v>
      </c>
      <c r="AS135" s="93" t="str">
        <f t="shared" si="50"/>
        <v>9999999999+9999999i</v>
      </c>
      <c r="AU135" s="87" t="str">
        <f t="shared" si="49"/>
        <v>0.00858412798412699+23.1771428571428i</v>
      </c>
      <c r="AV135" s="87" t="str">
        <f t="shared" si="51"/>
        <v>-145930125.561599+231771514389.522i</v>
      </c>
      <c r="AW135" s="87" t="str">
        <f t="shared" si="52"/>
        <v>9999999999.00858+10000022.1771429i</v>
      </c>
      <c r="AX135" s="87" t="str">
        <f t="shared" si="53"/>
        <v>0.00858418170202136+23.1771428570493i</v>
      </c>
      <c r="AY135" s="87" t="str">
        <f t="shared" si="54"/>
        <v>0.00868418170202136+22.504401645997i</v>
      </c>
      <c r="AZ135" s="87">
        <f t="shared" si="55"/>
        <v>26.999999999999936</v>
      </c>
      <c r="BA135" s="87">
        <f t="shared" si="56"/>
        <v>22.5044033215583</v>
      </c>
    </row>
    <row r="136" spans="2:53" x14ac:dyDescent="0.25">
      <c r="B136" s="109"/>
      <c r="C136" s="101"/>
      <c r="D136" s="108"/>
      <c r="E136" s="101"/>
      <c r="AO136" s="87">
        <f t="shared" si="57"/>
        <v>27.199999999999935</v>
      </c>
      <c r="AP136" s="126" t="str">
        <f t="shared" si="40"/>
        <v>0.0001-0.667794584500469i</v>
      </c>
      <c r="AQ136" s="105" t="str">
        <f t="shared" si="48"/>
        <v>0.000000001-0.00000000000000001i</v>
      </c>
      <c r="AR136" s="105" t="str">
        <f t="shared" si="41"/>
        <v>0.00858412698412699+23.3488253968254i</v>
      </c>
      <c r="AS136" s="93" t="str">
        <f t="shared" si="50"/>
        <v>9999999999+9999999i</v>
      </c>
      <c r="AU136" s="87" t="str">
        <f t="shared" si="49"/>
        <v>0.00858412798412699+23.3488253968254i</v>
      </c>
      <c r="AV136" s="87" t="str">
        <f t="shared" si="51"/>
        <v>-147646950.786743+233488339786.176i</v>
      </c>
      <c r="AW136" s="87" t="str">
        <f t="shared" si="52"/>
        <v>9999999999.00858+10000022.3488254i</v>
      </c>
      <c r="AX136" s="87" t="str">
        <f t="shared" si="53"/>
        <v>0.00858418250078973+23.3488253967308i</v>
      </c>
      <c r="AY136" s="87" t="str">
        <f t="shared" si="54"/>
        <v>0.00868418250078973+22.6810308122303i</v>
      </c>
      <c r="AZ136" s="87">
        <f t="shared" si="55"/>
        <v>27.199999999999935</v>
      </c>
      <c r="BA136" s="87">
        <f t="shared" si="56"/>
        <v>22.681032474743429</v>
      </c>
    </row>
    <row r="137" spans="2:53" x14ac:dyDescent="0.25">
      <c r="AO137" s="87">
        <f t="shared" si="57"/>
        <v>27.399999999999935</v>
      </c>
      <c r="AP137" s="126" t="str">
        <f t="shared" si="40"/>
        <v>0.0001-0.662920171474918i</v>
      </c>
      <c r="AQ137" s="105" t="str">
        <f t="shared" si="48"/>
        <v>0.000000001-0.00000000000000001i</v>
      </c>
      <c r="AR137" s="105" t="str">
        <f t="shared" si="41"/>
        <v>0.00858412698412699+23.5205079365079i</v>
      </c>
      <c r="AS137" s="93" t="str">
        <f t="shared" si="50"/>
        <v>9999999999+9999999i</v>
      </c>
      <c r="AU137" s="87" t="str">
        <f t="shared" si="49"/>
        <v>0.00858412798412699+23.5205079365079i</v>
      </c>
      <c r="AV137" s="87" t="str">
        <f t="shared" si="51"/>
        <v>-149363776.011885+235205165182.83i</v>
      </c>
      <c r="AW137" s="87" t="str">
        <f t="shared" si="52"/>
        <v>9999999999.00858+10000022.5205079i</v>
      </c>
      <c r="AX137" s="87" t="str">
        <f t="shared" si="53"/>
        <v>0.00858418330545327+23.5205079364122i</v>
      </c>
      <c r="AY137" s="87" t="str">
        <f t="shared" si="54"/>
        <v>0.00868418330545327+22.8575877649373i</v>
      </c>
      <c r="AZ137" s="87">
        <f t="shared" si="55"/>
        <v>27.399999999999935</v>
      </c>
      <c r="BA137" s="87">
        <f t="shared" si="56"/>
        <v>22.857589414609123</v>
      </c>
    </row>
    <row r="138" spans="2:53" ht="36" x14ac:dyDescent="0.55000000000000004">
      <c r="B138" s="118" t="s">
        <v>45</v>
      </c>
      <c r="C138" s="119"/>
      <c r="D138" s="119"/>
      <c r="E138" s="119"/>
      <c r="F138" s="119"/>
      <c r="G138" s="119"/>
      <c r="H138" s="119"/>
      <c r="I138" s="119"/>
      <c r="J138" s="119"/>
      <c r="K138" s="119"/>
      <c r="L138" s="119"/>
      <c r="AO138" s="87">
        <f t="shared" si="57"/>
        <v>27.599999999999934</v>
      </c>
      <c r="AP138" s="126" t="str">
        <f t="shared" si="40"/>
        <v>0.0001-0.658116402116404i</v>
      </c>
      <c r="AQ138" s="105" t="str">
        <f t="shared" si="48"/>
        <v>0.000000001-0.00000000000000001i</v>
      </c>
      <c r="AR138" s="105" t="str">
        <f t="shared" si="41"/>
        <v>0.00858412698412699+23.6921904761904i</v>
      </c>
      <c r="AS138" s="93" t="str">
        <f t="shared" si="50"/>
        <v>9999999999+9999999i</v>
      </c>
      <c r="AU138" s="87" t="str">
        <f t="shared" si="49"/>
        <v>0.00858412798412699+23.6921904761904i</v>
      </c>
      <c r="AV138" s="87" t="str">
        <f t="shared" si="51"/>
        <v>-151080601.237028+236921990579.483i</v>
      </c>
      <c r="AW138" s="87" t="str">
        <f t="shared" si="52"/>
        <v>9999999999.00858+10000022.6921905i</v>
      </c>
      <c r="AX138" s="87" t="str">
        <f t="shared" si="53"/>
        <v>0.00858418411601182+23.6921904760936i</v>
      </c>
      <c r="AY138" s="87" t="str">
        <f t="shared" si="54"/>
        <v>0.00868418411601182+23.0340740739772i</v>
      </c>
      <c r="AZ138" s="87">
        <f t="shared" si="55"/>
        <v>27.599999999999934</v>
      </c>
      <c r="BA138" s="87">
        <f t="shared" si="56"/>
        <v>23.034075711009599</v>
      </c>
    </row>
    <row r="139" spans="2:53" ht="20.25" customHeight="1" x14ac:dyDescent="0.4">
      <c r="B139" s="175" t="str">
        <f>"Notch Filter Design - Stage/Branch: "&amp;$I$9&amp;", Tuning Point: "&amp;FIXED($D$10,2)&amp;", Reference: "&amp;$I$8</f>
        <v>Notch Filter Design - Stage/Branch: Branch/Stage #, Tuning Point: 4.60, Reference: Enter Job Name</v>
      </c>
      <c r="C139" s="120"/>
      <c r="D139" s="120"/>
      <c r="E139" s="120"/>
      <c r="F139" s="120"/>
      <c r="G139" s="174"/>
      <c r="H139" s="174"/>
      <c r="I139" s="174"/>
      <c r="J139" s="174"/>
      <c r="K139" s="174"/>
      <c r="L139" s="186" t="s">
        <v>185</v>
      </c>
      <c r="AO139" s="87">
        <f t="shared" si="57"/>
        <v>27.799999999999933</v>
      </c>
      <c r="AP139" s="126" t="str">
        <f t="shared" si="40"/>
        <v>0.0001-0.653381751741466i</v>
      </c>
      <c r="AQ139" s="105" t="str">
        <f t="shared" si="48"/>
        <v>0.000000001-0.00000000000000001i</v>
      </c>
      <c r="AR139" s="105" t="str">
        <f t="shared" si="41"/>
        <v>0.00858412698412699+23.863873015873i</v>
      </c>
      <c r="AS139" s="93" t="str">
        <f t="shared" si="50"/>
        <v>9999999999+9999999i</v>
      </c>
      <c r="AU139" s="87" t="str">
        <f t="shared" si="49"/>
        <v>0.00858412798412699+23.863873015873i</v>
      </c>
      <c r="AV139" s="87" t="str">
        <f t="shared" si="51"/>
        <v>-152797426.462171+238638815976.137i</v>
      </c>
      <c r="AW139" s="87" t="str">
        <f t="shared" si="52"/>
        <v>9999999999.00858+10000022.863873i</v>
      </c>
      <c r="AX139" s="87" t="str">
        <f t="shared" si="53"/>
        <v>0.0085841849324652+23.8638730157751i</v>
      </c>
      <c r="AY139" s="87" t="str">
        <f t="shared" si="54"/>
        <v>0.0086841849324652+23.2104912640336i</v>
      </c>
      <c r="AZ139" s="87">
        <f t="shared" si="55"/>
        <v>27.799999999999933</v>
      </c>
      <c r="BA139" s="87">
        <f t="shared" si="56"/>
        <v>23.210492888623627</v>
      </c>
    </row>
    <row r="140" spans="2:53" x14ac:dyDescent="0.25">
      <c r="AO140" s="87">
        <f t="shared" si="57"/>
        <v>27.999999999999932</v>
      </c>
      <c r="AP140" s="126" t="str">
        <f t="shared" si="40"/>
        <v>0.0001-0.648714739229027i</v>
      </c>
      <c r="AQ140" s="105" t="str">
        <f t="shared" si="48"/>
        <v>0.000000001-0.00000000000000001i</v>
      </c>
      <c r="AR140" s="105" t="str">
        <f t="shared" si="41"/>
        <v>0.00858412698412699+24.0355555555555i</v>
      </c>
      <c r="AS140" s="93" t="str">
        <f t="shared" si="50"/>
        <v>9999999999+9999999i</v>
      </c>
      <c r="AU140" s="87" t="str">
        <f t="shared" si="49"/>
        <v>0.00858412798412699+24.0355555555555i</v>
      </c>
      <c r="AV140" s="87" t="str">
        <f t="shared" si="51"/>
        <v>-154514251.687314+240355641372.791i</v>
      </c>
      <c r="AW140" s="87" t="str">
        <f t="shared" si="52"/>
        <v>9999999999.00858+10000023.0355556i</v>
      </c>
      <c r="AX140" s="87" t="str">
        <f t="shared" si="53"/>
        <v>0.00858418575481379+24.0355555554565i</v>
      </c>
      <c r="AY140" s="87" t="str">
        <f t="shared" si="54"/>
        <v>0.00868418575481379+23.3868408162275i</v>
      </c>
      <c r="AZ140" s="87">
        <f t="shared" si="55"/>
        <v>27.999999999999932</v>
      </c>
      <c r="BA140" s="87">
        <f t="shared" si="56"/>
        <v>23.38684242856754</v>
      </c>
    </row>
    <row r="141" spans="2:53" x14ac:dyDescent="0.25">
      <c r="AO141" s="87">
        <f t="shared" si="57"/>
        <v>28.199999999999932</v>
      </c>
      <c r="AP141" s="126" t="str">
        <f t="shared" si="40"/>
        <v>0.0001-0.644113925475629i</v>
      </c>
      <c r="AQ141" s="105" t="str">
        <f t="shared" si="48"/>
        <v>0.000000001-0.00000000000000001i</v>
      </c>
      <c r="AR141" s="105" t="str">
        <f t="shared" si="41"/>
        <v>0.00858412698412699+24.207238095238i</v>
      </c>
      <c r="AS141" s="93" t="str">
        <f t="shared" si="50"/>
        <v>9999999999+9999999i</v>
      </c>
      <c r="AU141" s="87" t="str">
        <f t="shared" si="49"/>
        <v>0.00858412798412699+24.207238095238i</v>
      </c>
      <c r="AV141" s="87" t="str">
        <f t="shared" si="51"/>
        <v>-156231076.912456+242072466769.444i</v>
      </c>
      <c r="AW141" s="87" t="str">
        <f t="shared" si="52"/>
        <v>9999999999.00858+10000023.2072381i</v>
      </c>
      <c r="AX141" s="87" t="str">
        <f t="shared" si="53"/>
        <v>0.00858418658305713+24.2072380951378i</v>
      </c>
      <c r="AY141" s="87" t="str">
        <f t="shared" si="54"/>
        <v>0.00868418658305713+23.5631241696622i</v>
      </c>
      <c r="AZ141" s="87">
        <f t="shared" si="55"/>
        <v>28.199999999999932</v>
      </c>
      <c r="BA141" s="87">
        <f t="shared" si="56"/>
        <v>23.563125769940108</v>
      </c>
    </row>
    <row r="142" spans="2:53" x14ac:dyDescent="0.25">
      <c r="AO142" s="87">
        <f t="shared" si="57"/>
        <v>28.399999999999931</v>
      </c>
      <c r="AP142" s="126" t="str">
        <f t="shared" si="40"/>
        <v>0.0001-0.639577911915942i</v>
      </c>
      <c r="AQ142" s="105" t="str">
        <f t="shared" si="48"/>
        <v>0.000000001-0.00000000000000001i</v>
      </c>
      <c r="AR142" s="105" t="str">
        <f t="shared" si="41"/>
        <v>0.00858412698412699+24.3789206349206i</v>
      </c>
      <c r="AS142" s="93" t="str">
        <f t="shared" si="50"/>
        <v>9999999999+9999999i</v>
      </c>
      <c r="AU142" s="87" t="str">
        <f t="shared" si="49"/>
        <v>0.00858412798412699+24.3789206349206i</v>
      </c>
      <c r="AV142" s="87" t="str">
        <f t="shared" si="51"/>
        <v>-157947902.1376+243789292166.098i</v>
      </c>
      <c r="AW142" s="87" t="str">
        <f t="shared" si="52"/>
        <v>9999999999.00858+10000023.3789206i</v>
      </c>
      <c r="AX142" s="87" t="str">
        <f t="shared" si="53"/>
        <v>0.00858418741719533+24.3789206348193i</v>
      </c>
      <c r="AY142" s="87" t="str">
        <f t="shared" si="54"/>
        <v>0.00868418741719533+23.7393427229034i</v>
      </c>
      <c r="AZ142" s="87">
        <f t="shared" si="55"/>
        <v>28.399999999999931</v>
      </c>
      <c r="BA142" s="87">
        <f t="shared" si="56"/>
        <v>23.739344311302656</v>
      </c>
    </row>
    <row r="143" spans="2:53" x14ac:dyDescent="0.25">
      <c r="AO143" s="87">
        <f t="shared" si="57"/>
        <v>28.59999999999993</v>
      </c>
      <c r="AP143" s="126" t="str">
        <f t="shared" si="40"/>
        <v>0.0001-0.635105339105341i</v>
      </c>
      <c r="AQ143" s="105" t="str">
        <f t="shared" si="48"/>
        <v>0.000000001-0.00000000000000001i</v>
      </c>
      <c r="AR143" s="105" t="str">
        <f t="shared" si="41"/>
        <v>0.00858412698412699+24.5506031746031i</v>
      </c>
      <c r="AS143" s="93" t="str">
        <f t="shared" si="50"/>
        <v>9999999999+9999999i</v>
      </c>
      <c r="AU143" s="87" t="str">
        <f t="shared" si="49"/>
        <v>0.00858412798412699+24.5506031746031i</v>
      </c>
      <c r="AV143" s="87" t="str">
        <f t="shared" si="51"/>
        <v>-159664727.362742+245506117562.752i</v>
      </c>
      <c r="AW143" s="87" t="str">
        <f t="shared" si="52"/>
        <v>9999999999.00858+10000023.5506032i</v>
      </c>
      <c r="AX143" s="87" t="str">
        <f t="shared" si="53"/>
        <v>0.00858418825722895+24.5506031745007i</v>
      </c>
      <c r="AY143" s="87" t="str">
        <f t="shared" si="54"/>
        <v>0.00868418825722895+23.9154978353954i</v>
      </c>
      <c r="AZ143" s="87">
        <f t="shared" si="55"/>
        <v>28.59999999999993</v>
      </c>
      <c r="BA143" s="87">
        <f t="shared" si="56"/>
        <v>23.91549941209524</v>
      </c>
    </row>
    <row r="144" spans="2:53" x14ac:dyDescent="0.25">
      <c r="AO144" s="87">
        <f t="shared" si="57"/>
        <v>28.79999999999993</v>
      </c>
      <c r="AP144" s="126" t="str">
        <f t="shared" si="40"/>
        <v>0.0001-0.630694885361554i</v>
      </c>
      <c r="AQ144" s="105" t="str">
        <f t="shared" si="48"/>
        <v>0.000000001-0.00000000000000001i</v>
      </c>
      <c r="AR144" s="105" t="str">
        <f t="shared" si="41"/>
        <v>0.00858412698412699+24.7222857142857i</v>
      </c>
      <c r="AS144" s="93" t="str">
        <f t="shared" si="50"/>
        <v>9999999999+9999999i</v>
      </c>
      <c r="AU144" s="87" t="str">
        <f t="shared" si="49"/>
        <v>0.00858412798412699+24.7222857142857i</v>
      </c>
      <c r="AV144" s="87" t="str">
        <f t="shared" si="51"/>
        <v>-161381552.587886+247222942959.406i</v>
      </c>
      <c r="AW144" s="87" t="str">
        <f t="shared" si="52"/>
        <v>9999999999.00858+10000023.7222857i</v>
      </c>
      <c r="AX144" s="87" t="str">
        <f t="shared" si="53"/>
        <v>0.00858418910315709+24.7222857141822i</v>
      </c>
      <c r="AY144" s="87" t="str">
        <f t="shared" si="54"/>
        <v>0.00868418910315709+24.0915908288206i</v>
      </c>
      <c r="AZ144" s="87">
        <f t="shared" si="55"/>
        <v>28.79999999999993</v>
      </c>
      <c r="BA144" s="87">
        <f t="shared" si="56"/>
        <v>24.091592393996148</v>
      </c>
    </row>
    <row r="145" spans="1:53" x14ac:dyDescent="0.25">
      <c r="AO145" s="87">
        <f t="shared" si="57"/>
        <v>28.999999999999929</v>
      </c>
      <c r="AP145" s="126" t="str">
        <f t="shared" si="40"/>
        <v>0.0001-0.626345265462508i</v>
      </c>
      <c r="AQ145" s="105" t="str">
        <f t="shared" si="48"/>
        <v>0.000000001-0.00000000000000001i</v>
      </c>
      <c r="AR145" s="105" t="str">
        <f t="shared" si="41"/>
        <v>0.00858412698412699+24.8939682539682i</v>
      </c>
      <c r="AS145" s="93" t="str">
        <f t="shared" si="50"/>
        <v>9999999999+9999999i</v>
      </c>
      <c r="AU145" s="87" t="str">
        <f t="shared" si="49"/>
        <v>0.00858412798412699+24.8939682539682i</v>
      </c>
      <c r="AV145" s="87" t="str">
        <f t="shared" si="51"/>
        <v>-163098377.813028+248939768356.059i</v>
      </c>
      <c r="AW145" s="87" t="str">
        <f t="shared" si="52"/>
        <v>9999999999.00858+10000023.8939683i</v>
      </c>
      <c r="AX145" s="87" t="str">
        <f t="shared" si="53"/>
        <v>0.00858418995498056+24.8939682538635i</v>
      </c>
      <c r="AY145" s="87" t="str">
        <f t="shared" si="54"/>
        <v>0.00868418995498056+24.267622988401i</v>
      </c>
      <c r="AZ145" s="87">
        <f t="shared" si="55"/>
        <v>28.999999999999929</v>
      </c>
      <c r="BA145" s="87">
        <f t="shared" si="56"/>
        <v>24.267624542223412</v>
      </c>
    </row>
    <row r="146" spans="1:53" x14ac:dyDescent="0.25"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AO146" s="87">
        <f t="shared" si="57"/>
        <v>29.199999999999928</v>
      </c>
      <c r="AP146" s="126" t="str">
        <f t="shared" si="40"/>
        <v>0.0001-0.622055229397697i</v>
      </c>
      <c r="AQ146" s="105" t="str">
        <f t="shared" si="48"/>
        <v>0.000000001-0.00000000000000001i</v>
      </c>
      <c r="AR146" s="105" t="str">
        <f t="shared" si="41"/>
        <v>0.00858412698412699+25.0656507936507i</v>
      </c>
      <c r="AS146" s="93" t="str">
        <f t="shared" si="50"/>
        <v>9999999999+9999999i</v>
      </c>
      <c r="AU146" s="87" t="str">
        <f t="shared" si="49"/>
        <v>0.00858412798412699+25.0656507936507i</v>
      </c>
      <c r="AV146" s="87" t="str">
        <f t="shared" si="51"/>
        <v>-164815203.03817+250656593752.713i</v>
      </c>
      <c r="AW146" s="87" t="str">
        <f t="shared" si="52"/>
        <v>9999999999.00858+10000024.0656508i</v>
      </c>
      <c r="AX146" s="87" t="str">
        <f t="shared" si="53"/>
        <v>0.00858419081269885+25.0656507935449i</v>
      </c>
      <c r="AY146" s="87" t="str">
        <f t="shared" si="54"/>
        <v>0.00868419081269885+24.4435955641472i</v>
      </c>
      <c r="AZ146" s="87">
        <f t="shared" si="55"/>
        <v>29.199999999999928</v>
      </c>
      <c r="BA146" s="87">
        <f t="shared" si="56"/>
        <v>24.443597106783745</v>
      </c>
    </row>
    <row r="147" spans="1:53" x14ac:dyDescent="0.25">
      <c r="AO147" s="87">
        <f t="shared" si="57"/>
        <v>29.399999999999928</v>
      </c>
      <c r="AP147" s="126" t="str">
        <f t="shared" si="40"/>
        <v>0.0001-0.617823561170502i</v>
      </c>
      <c r="AQ147" s="105" t="str">
        <f t="shared" si="48"/>
        <v>0.000000001-0.00000000000000001i</v>
      </c>
      <c r="AR147" s="105" t="str">
        <f t="shared" si="41"/>
        <v>0.00858412698412699+25.2373333333333i</v>
      </c>
      <c r="AS147" s="93" t="str">
        <f t="shared" si="50"/>
        <v>9999999999+9999999i</v>
      </c>
      <c r="AU147" s="87" t="str">
        <f t="shared" si="49"/>
        <v>0.00858412798412699+25.2373333333333i</v>
      </c>
      <c r="AV147" s="87" t="str">
        <f t="shared" si="51"/>
        <v>-166532028.263314+252373419149.367i</v>
      </c>
      <c r="AW147" s="87" t="str">
        <f t="shared" si="52"/>
        <v>9999999999.00858+10000024.2373333i</v>
      </c>
      <c r="AX147" s="87" t="str">
        <f t="shared" si="53"/>
        <v>0.00858419167631191+25.2373333332263i</v>
      </c>
      <c r="AY147" s="87" t="str">
        <f t="shared" si="54"/>
        <v>0.00868419167631191+24.6195097720558i</v>
      </c>
      <c r="AZ147" s="87">
        <f t="shared" si="55"/>
        <v>29.399999999999928</v>
      </c>
      <c r="BA147" s="87">
        <f t="shared" si="56"/>
        <v>24.619511303670027</v>
      </c>
    </row>
    <row r="148" spans="1:53" x14ac:dyDescent="0.25"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AO148" s="87">
        <f t="shared" si="57"/>
        <v>29.599999999999927</v>
      </c>
      <c r="AP148" s="126" t="str">
        <f t="shared" si="40"/>
        <v>0.0001-0.613649077649079i</v>
      </c>
      <c r="AQ148" s="105" t="str">
        <f t="shared" si="48"/>
        <v>0.000000001-0.00000000000000001i</v>
      </c>
      <c r="AR148" s="105" t="str">
        <f t="shared" si="41"/>
        <v>0.00858412698412699+25.4090158730158i</v>
      </c>
      <c r="AS148" s="93" t="str">
        <f t="shared" si="50"/>
        <v>9999999999+9999999i</v>
      </c>
      <c r="AU148" s="87" t="str">
        <f t="shared" si="49"/>
        <v>0.00858412798412699+25.4090158730158i</v>
      </c>
      <c r="AV148" s="87" t="str">
        <f t="shared" si="51"/>
        <v>-168248853.488456+254090244546.02i</v>
      </c>
      <c r="AW148" s="87" t="str">
        <f t="shared" si="52"/>
        <v>9999999999.00858+10000024.4090159i</v>
      </c>
      <c r="AX148" s="87" t="str">
        <f t="shared" si="53"/>
        <v>0.0085841925458203+25.4090158729076i</v>
      </c>
      <c r="AY148" s="87" t="str">
        <f t="shared" si="54"/>
        <v>0.0086841925458203+24.7953667952585i</v>
      </c>
      <c r="AZ148" s="87">
        <f t="shared" si="55"/>
        <v>29.599999999999927</v>
      </c>
      <c r="BA148" s="87">
        <f t="shared" si="56"/>
        <v>24.795368316010311</v>
      </c>
    </row>
    <row r="149" spans="1:53" x14ac:dyDescent="0.25">
      <c r="AO149" s="87">
        <f t="shared" si="57"/>
        <v>29.799999999999926</v>
      </c>
      <c r="AP149" s="126" t="str">
        <f t="shared" si="40"/>
        <v>0.0001-0.609530627463515i</v>
      </c>
      <c r="AQ149" s="105" t="str">
        <f t="shared" si="48"/>
        <v>0.000000001-0.00000000000000001i</v>
      </c>
      <c r="AR149" s="105" t="str">
        <f t="shared" si="41"/>
        <v>0.00858412698412699+25.5806984126984i</v>
      </c>
      <c r="AS149" s="93" t="str">
        <f t="shared" si="50"/>
        <v>9999999999+9999999i</v>
      </c>
      <c r="AU149" s="87" t="str">
        <f t="shared" si="49"/>
        <v>0.00858412798412699+25.5806984126984i</v>
      </c>
      <c r="AV149" s="87" t="str">
        <f t="shared" si="51"/>
        <v>-169965678.7136+255807069942.675i</v>
      </c>
      <c r="AW149" s="87" t="str">
        <f t="shared" si="52"/>
        <v>9999999999.00858+10000024.5806984i</v>
      </c>
      <c r="AX149" s="87" t="str">
        <f t="shared" si="53"/>
        <v>0.00858419342122341+25.5806984125891i</v>
      </c>
      <c r="AY149" s="87" t="str">
        <f t="shared" si="54"/>
        <v>0.00868419342122341+24.9711677851256i</v>
      </c>
      <c r="AZ149" s="87">
        <f t="shared" si="55"/>
        <v>29.799999999999926</v>
      </c>
      <c r="BA149" s="87">
        <f t="shared" si="56"/>
        <v>24.971169295171382</v>
      </c>
    </row>
    <row r="150" spans="1:53" x14ac:dyDescent="0.25">
      <c r="AO150" s="87">
        <f t="shared" si="57"/>
        <v>29.999999999999925</v>
      </c>
      <c r="AP150" s="126" t="str">
        <f t="shared" si="40"/>
        <v>0.0001-0.605467089947092i</v>
      </c>
      <c r="AQ150" s="105" t="str">
        <f t="shared" si="48"/>
        <v>0.000000001-0.00000000000000001i</v>
      </c>
      <c r="AR150" s="105" t="str">
        <f t="shared" si="41"/>
        <v>0.00858412698412699+25.7523809523809i</v>
      </c>
      <c r="AS150" s="93" t="str">
        <f t="shared" si="50"/>
        <v>9999999999+9999999i</v>
      </c>
      <c r="AU150" s="87" t="str">
        <f t="shared" si="49"/>
        <v>0.00858412798412699+25.7523809523809i</v>
      </c>
      <c r="AV150" s="87" t="str">
        <f t="shared" si="51"/>
        <v>-171682503.938742+257523895339.328i</v>
      </c>
      <c r="AW150" s="87" t="str">
        <f t="shared" si="52"/>
        <v>9999999999.00858+10000024.752381i</v>
      </c>
      <c r="AX150" s="87" t="str">
        <f t="shared" si="53"/>
        <v>0.00858419430252175+25.7523809522704i</v>
      </c>
      <c r="AY150" s="87" t="str">
        <f t="shared" si="54"/>
        <v>0.00868419430252175+25.1469138623233i</v>
      </c>
      <c r="AZ150" s="87">
        <f t="shared" si="55"/>
        <v>29.999999999999925</v>
      </c>
      <c r="BA150" s="87">
        <f t="shared" si="56"/>
        <v>25.146915361816017</v>
      </c>
    </row>
    <row r="151" spans="1:53" x14ac:dyDescent="0.25">
      <c r="AO151" s="87">
        <f t="shared" si="57"/>
        <v>30.199999999999925</v>
      </c>
      <c r="AP151" s="126" t="str">
        <f t="shared" si="40"/>
        <v>0.0001-0.601457374119627i</v>
      </c>
      <c r="AQ151" s="105" t="str">
        <f t="shared" si="48"/>
        <v>0.000000001-0.00000000000000001i</v>
      </c>
      <c r="AR151" s="105" t="str">
        <f t="shared" si="41"/>
        <v>0.00858412698412699+25.9240634920634i</v>
      </c>
      <c r="AS151" s="93" t="str">
        <f t="shared" si="50"/>
        <v>9999999999+9999999i</v>
      </c>
      <c r="AU151" s="87" t="str">
        <f t="shared" si="49"/>
        <v>0.00858412798412699+25.9240634920634i</v>
      </c>
      <c r="AV151" s="87" t="str">
        <f t="shared" si="51"/>
        <v>-173399329.163885+259240720735.981i</v>
      </c>
      <c r="AW151" s="87" t="str">
        <f t="shared" si="52"/>
        <v>9999999999.00858+10000024.9240635i</v>
      </c>
      <c r="AX151" s="87" t="str">
        <f t="shared" si="53"/>
        <v>0.0085841951897147+25.9240634919517i</v>
      </c>
      <c r="AY151" s="87" t="str">
        <f t="shared" si="54"/>
        <v>0.0086841951897147+25.3226061178321i</v>
      </c>
      <c r="AZ151" s="87">
        <f t="shared" si="55"/>
        <v>30.199999999999925</v>
      </c>
      <c r="BA151" s="87">
        <f t="shared" si="56"/>
        <v>25.322607606921405</v>
      </c>
    </row>
    <row r="152" spans="1:53" x14ac:dyDescent="0.25">
      <c r="AO152" s="87">
        <f t="shared" si="57"/>
        <v>30.399999999999924</v>
      </c>
      <c r="AP152" s="126" t="str">
        <f t="shared" si="40"/>
        <v>0.0001-0.597500417710946i</v>
      </c>
      <c r="AQ152" s="105" t="str">
        <f t="shared" si="48"/>
        <v>0.000000001-0.00000000000000001i</v>
      </c>
      <c r="AR152" s="105" t="str">
        <f t="shared" si="41"/>
        <v>0.00858412698412699+26.095746031746i</v>
      </c>
      <c r="AS152" s="93" t="str">
        <f t="shared" si="50"/>
        <v>9999999999+9999999i</v>
      </c>
      <c r="AU152" s="87" t="str">
        <f t="shared" si="49"/>
        <v>0.00858412798412699+26.095746031746i</v>
      </c>
      <c r="AV152" s="87" t="str">
        <f t="shared" si="51"/>
        <v>-175116154.389028+260957546132.636i</v>
      </c>
      <c r="AW152" s="87" t="str">
        <f t="shared" si="52"/>
        <v>9999999999.00858+10000025.095746i</v>
      </c>
      <c r="AX152" s="87" t="str">
        <f t="shared" si="53"/>
        <v>0.00858419608280282+26.0957460316332i</v>
      </c>
      <c r="AY152" s="87" t="str">
        <f t="shared" si="54"/>
        <v>0.00868419608280282+25.4982456139223i</v>
      </c>
      <c r="AZ152" s="87">
        <f t="shared" si="55"/>
        <v>30.399999999999924</v>
      </c>
      <c r="BA152" s="87">
        <f t="shared" si="56"/>
        <v>25.498247092754617</v>
      </c>
    </row>
    <row r="153" spans="1:53" x14ac:dyDescent="0.25">
      <c r="AO153" s="87">
        <f t="shared" si="57"/>
        <v>30.599999999999923</v>
      </c>
      <c r="AP153" s="126" t="str">
        <f t="shared" si="40"/>
        <v>0.0001-0.593595186222639i</v>
      </c>
      <c r="AQ153" s="105" t="str">
        <f t="shared" si="48"/>
        <v>0.000000001-0.00000000000000001i</v>
      </c>
      <c r="AR153" s="105" t="str">
        <f t="shared" si="41"/>
        <v>0.00858412698412699+26.2674285714285i</v>
      </c>
      <c r="AS153" s="93" t="str">
        <f t="shared" si="50"/>
        <v>9999999999+9999999i</v>
      </c>
      <c r="AU153" s="87" t="str">
        <f t="shared" si="49"/>
        <v>0.00858412798412699+26.2674285714285i</v>
      </c>
      <c r="AV153" s="87" t="str">
        <f t="shared" si="51"/>
        <v>-176832979.614171+262674371529.289i</v>
      </c>
      <c r="AW153" s="87" t="str">
        <f t="shared" si="52"/>
        <v>9999999999.00858+10000025.2674286i</v>
      </c>
      <c r="AX153" s="87" t="str">
        <f t="shared" si="53"/>
        <v>0.00858419698178598+26.2674285713144i</v>
      </c>
      <c r="AY153" s="87" t="str">
        <f t="shared" si="54"/>
        <v>0.00868419698178598+25.6738333850918i</v>
      </c>
      <c r="AZ153" s="87">
        <f t="shared" si="55"/>
        <v>30.599999999999923</v>
      </c>
      <c r="BA153" s="87">
        <f t="shared" si="56"/>
        <v>25.673834853810437</v>
      </c>
    </row>
    <row r="154" spans="1:53" x14ac:dyDescent="0.25">
      <c r="AO154" s="87">
        <f t="shared" si="57"/>
        <v>30.799999999999923</v>
      </c>
      <c r="AP154" s="126" t="str">
        <f t="shared" si="40"/>
        <v>0.0001-0.589740672026388i</v>
      </c>
      <c r="AQ154" s="105" t="str">
        <f t="shared" si="48"/>
        <v>0.000000001-0.00000000000000001i</v>
      </c>
      <c r="AR154" s="105" t="str">
        <f t="shared" si="41"/>
        <v>0.00858412698412699+26.4391111111111i</v>
      </c>
      <c r="AS154" s="93" t="str">
        <f t="shared" si="50"/>
        <v>9999999999+9999999i</v>
      </c>
      <c r="AU154" s="87" t="str">
        <f t="shared" si="49"/>
        <v>0.00858412798412699+26.4391111111111i</v>
      </c>
      <c r="AV154" s="87" t="str">
        <f t="shared" si="51"/>
        <v>-178549804.839314+264391196925.943i</v>
      </c>
      <c r="AW154" s="87" t="str">
        <f t="shared" si="52"/>
        <v>9999999999.00858+10000025.4391111i</v>
      </c>
      <c r="AX154" s="87" t="str">
        <f t="shared" si="53"/>
        <v>0.00858419788666396+26.4391111109958i</v>
      </c>
      <c r="AY154" s="87" t="str">
        <f t="shared" si="54"/>
        <v>0.00868419788666396+25.8493704389694i</v>
      </c>
      <c r="AZ154" s="87">
        <f t="shared" si="55"/>
        <v>30.799999999999923</v>
      </c>
      <c r="BA154" s="87">
        <f t="shared" si="56"/>
        <v>25.849371897714612</v>
      </c>
    </row>
    <row r="155" spans="1:53" x14ac:dyDescent="0.25">
      <c r="AO155" s="87">
        <f t="shared" si="57"/>
        <v>30.999999999999922</v>
      </c>
      <c r="AP155" s="126" t="str">
        <f t="shared" si="40"/>
        <v>0.0001-0.585935893497185i</v>
      </c>
      <c r="AQ155" s="105" t="str">
        <f t="shared" si="48"/>
        <v>0.000000001-0.00000000000000001i</v>
      </c>
      <c r="AR155" s="105" t="str">
        <f t="shared" si="41"/>
        <v>0.00858412698412699+26.6107936507936i</v>
      </c>
      <c r="AS155" s="93" t="str">
        <f t="shared" si="50"/>
        <v>9999999999+9999999i</v>
      </c>
      <c r="AU155" s="87" t="str">
        <f t="shared" si="49"/>
        <v>0.00858412798412699+26.6107936507936i</v>
      </c>
      <c r="AV155" s="87" t="str">
        <f t="shared" si="51"/>
        <v>-180266630.064457+266108022322.596i</v>
      </c>
      <c r="AW155" s="87" t="str">
        <f t="shared" si="52"/>
        <v>9999999999.00858+10000025.6107937i</v>
      </c>
      <c r="AX155" s="87" t="str">
        <f t="shared" si="53"/>
        <v>0.00858419879743706+26.6107936506771i</v>
      </c>
      <c r="AY155" s="87" t="str">
        <f t="shared" si="54"/>
        <v>0.00868419879743706+26.0248577571799i</v>
      </c>
      <c r="AZ155" s="87">
        <f t="shared" si="55"/>
        <v>30.999999999999922</v>
      </c>
      <c r="BA155" s="87">
        <f t="shared" si="56"/>
        <v>26.024859206089005</v>
      </c>
    </row>
    <row r="156" spans="1:53" x14ac:dyDescent="0.25">
      <c r="A156" s="97"/>
      <c r="AO156" s="87">
        <f t="shared" si="57"/>
        <v>31.199999999999921</v>
      </c>
      <c r="AP156" s="126" t="str">
        <f t="shared" ref="AP156:AP219" si="58">COMPLEX(0.0001,-1*$D$20/AO156)</f>
        <v>0.0001-0.582179894179896i</v>
      </c>
      <c r="AQ156" s="105" t="str">
        <f t="shared" si="48"/>
        <v>0.000000001-0.00000000000000001i</v>
      </c>
      <c r="AR156" s="105" t="str">
        <f t="shared" ref="AR156:AR219" si="59">COMPLEX($D$23/$D$27,$D$23*AO156)</f>
        <v>0.00858412698412699+26.7824761904761i</v>
      </c>
      <c r="AS156" s="93" t="str">
        <f t="shared" si="50"/>
        <v>9999999999+9999999i</v>
      </c>
      <c r="AU156" s="87" t="str">
        <f t="shared" si="49"/>
        <v>0.00858412798412699+26.7824761904761i</v>
      </c>
      <c r="AV156" s="87" t="str">
        <f t="shared" si="51"/>
        <v>-181983455.289599+267824847719.25i</v>
      </c>
      <c r="AW156" s="87" t="str">
        <f t="shared" si="52"/>
        <v>9999999999.00858+10000025.7824762i</v>
      </c>
      <c r="AX156" s="87" t="str">
        <f t="shared" si="53"/>
        <v>0.00858419971410507+26.7824761903584i</v>
      </c>
      <c r="AY156" s="87" t="str">
        <f t="shared" si="54"/>
        <v>0.00868419971410507+26.2002962961785i</v>
      </c>
      <c r="AZ156" s="87">
        <f t="shared" si="55"/>
        <v>31.199999999999921</v>
      </c>
      <c r="BA156" s="87">
        <f t="shared" si="56"/>
        <v>26.200297735385941</v>
      </c>
    </row>
    <row r="157" spans="1:53" x14ac:dyDescent="0.25">
      <c r="AO157" s="87">
        <f t="shared" si="57"/>
        <v>31.39999999999992</v>
      </c>
      <c r="AP157" s="126" t="str">
        <f t="shared" si="58"/>
        <v>0.0001-0.578471741987667i</v>
      </c>
      <c r="AQ157" s="105" t="str">
        <f t="shared" si="48"/>
        <v>0.000000001-0.00000000000000001i</v>
      </c>
      <c r="AR157" s="105" t="str">
        <f t="shared" si="59"/>
        <v>0.00858412698412699+26.9541587301587i</v>
      </c>
      <c r="AS157" s="93" t="str">
        <f t="shared" si="50"/>
        <v>9999999999+9999999i</v>
      </c>
      <c r="AU157" s="87" t="str">
        <f t="shared" si="49"/>
        <v>0.00858412798412699+26.9541587301587i</v>
      </c>
      <c r="AV157" s="87" t="str">
        <f t="shared" si="51"/>
        <v>-183700280.514742+269541673115.904i</v>
      </c>
      <c r="AW157" s="87" t="str">
        <f t="shared" si="52"/>
        <v>9999999999.00858+10000025.9541587i</v>
      </c>
      <c r="AX157" s="87" t="str">
        <f t="shared" si="53"/>
        <v>0.00858420063666796+26.9541587300398i</v>
      </c>
      <c r="AY157" s="87" t="str">
        <f t="shared" si="54"/>
        <v>0.00868420063666796+26.3756869880521i</v>
      </c>
      <c r="AZ157" s="87">
        <f t="shared" si="55"/>
        <v>31.39999999999992</v>
      </c>
      <c r="BA157" s="87">
        <f t="shared" si="56"/>
        <v>26.375688417689528</v>
      </c>
    </row>
    <row r="158" spans="1:53" x14ac:dyDescent="0.25">
      <c r="AO158" s="87">
        <f t="shared" si="57"/>
        <v>31.59999999999992</v>
      </c>
      <c r="AP158" s="126" t="str">
        <f t="shared" si="58"/>
        <v>0.0001-0.574810528430783i</v>
      </c>
      <c r="AQ158" s="105" t="str">
        <f t="shared" si="48"/>
        <v>0.000000001-0.00000000000000001i</v>
      </c>
      <c r="AR158" s="105" t="str">
        <f t="shared" si="59"/>
        <v>0.00858412698412699+27.1258412698412i</v>
      </c>
      <c r="AS158" s="93" t="str">
        <f t="shared" si="50"/>
        <v>9999999999+9999999i</v>
      </c>
      <c r="AU158" s="87" t="str">
        <f t="shared" si="49"/>
        <v>0.00858412798412699+27.1258412698412i</v>
      </c>
      <c r="AV158" s="87" t="str">
        <f t="shared" si="51"/>
        <v>-185417105.739885+271258498512.557i</v>
      </c>
      <c r="AW158" s="87" t="str">
        <f t="shared" si="52"/>
        <v>9999999999.00858+10000026.1258413i</v>
      </c>
      <c r="AX158" s="87" t="str">
        <f t="shared" si="53"/>
        <v>0.00858420156512599+27.125841269721i</v>
      </c>
      <c r="AY158" s="87" t="str">
        <f t="shared" si="54"/>
        <v>0.00868420156512599+26.5510307412902i</v>
      </c>
      <c r="AZ158" s="87">
        <f t="shared" si="55"/>
        <v>31.59999999999992</v>
      </c>
      <c r="BA158" s="87">
        <f t="shared" si="56"/>
        <v>26.551032161486571</v>
      </c>
    </row>
    <row r="159" spans="1:53" x14ac:dyDescent="0.25">
      <c r="AO159" s="87">
        <f t="shared" si="57"/>
        <v>31.799999999999919</v>
      </c>
      <c r="AP159" s="126" t="str">
        <f t="shared" si="58"/>
        <v>0.0001-0.571195367874615i</v>
      </c>
      <c r="AQ159" s="105" t="str">
        <f t="shared" si="48"/>
        <v>0.000000001-0.00000000000000001i</v>
      </c>
      <c r="AR159" s="105" t="str">
        <f t="shared" si="59"/>
        <v>0.00858412698412699+27.2975238095237i</v>
      </c>
      <c r="AS159" s="93" t="str">
        <f t="shared" si="50"/>
        <v>9999999999+9999999i</v>
      </c>
      <c r="AU159" s="87" t="str">
        <f t="shared" si="49"/>
        <v>0.00858412798412699+27.2975238095237i</v>
      </c>
      <c r="AV159" s="87" t="str">
        <f t="shared" si="51"/>
        <v>-187133930.965027+272975323909.211i</v>
      </c>
      <c r="AW159" s="87" t="str">
        <f t="shared" si="52"/>
        <v>9999999999.00858+10000026.2975238i</v>
      </c>
      <c r="AX159" s="87" t="str">
        <f t="shared" si="53"/>
        <v>0.00858420249947892+27.2975238094024i</v>
      </c>
      <c r="AY159" s="87" t="str">
        <f t="shared" si="54"/>
        <v>0.00868420249947892+26.7263284415278i</v>
      </c>
      <c r="AZ159" s="87">
        <f t="shared" si="55"/>
        <v>31.799999999999919</v>
      </c>
      <c r="BA159" s="87">
        <f t="shared" si="56"/>
        <v>26.726329852409421</v>
      </c>
    </row>
    <row r="160" spans="1:53" x14ac:dyDescent="0.25">
      <c r="AO160" s="87">
        <f t="shared" si="57"/>
        <v>31.999999999999918</v>
      </c>
      <c r="AP160" s="126" t="str">
        <f t="shared" si="58"/>
        <v>0.0001-0.567625396825398i</v>
      </c>
      <c r="AQ160" s="105" t="str">
        <f t="shared" si="48"/>
        <v>0.000000001-0.00000000000000001i</v>
      </c>
      <c r="AR160" s="105" t="str">
        <f t="shared" si="59"/>
        <v>0.00858412698412699+27.4692063492063i</v>
      </c>
      <c r="AS160" s="93" t="str">
        <f t="shared" si="50"/>
        <v>9999999999+9999999i</v>
      </c>
      <c r="AU160" s="87" t="str">
        <f t="shared" si="49"/>
        <v>0.00858412798412699+27.4692063492063i</v>
      </c>
      <c r="AV160" s="87" t="str">
        <f t="shared" si="51"/>
        <v>-188850756.190171+274692149305.865i</v>
      </c>
      <c r="AW160" s="87" t="str">
        <f t="shared" si="52"/>
        <v>9999999999.00858+10000026.4692063i</v>
      </c>
      <c r="AX160" s="87" t="str">
        <f t="shared" si="53"/>
        <v>0.00858420343972662+27.4692063490837i</v>
      </c>
      <c r="AY160" s="87" t="str">
        <f t="shared" si="54"/>
        <v>0.00868420343972662+26.9015809522583i</v>
      </c>
      <c r="AZ160" s="87">
        <f t="shared" si="55"/>
        <v>31.999999999999918</v>
      </c>
      <c r="BA160" s="87">
        <f t="shared" si="56"/>
        <v>26.901582353948918</v>
      </c>
    </row>
    <row r="161" spans="2:53" x14ac:dyDescent="0.25">
      <c r="AO161" s="87">
        <f t="shared" si="57"/>
        <v>32.199999999999918</v>
      </c>
      <c r="AP161" s="126" t="str">
        <f t="shared" si="58"/>
        <v>0.0001-0.564099773242632i</v>
      </c>
      <c r="AQ161" s="105" t="str">
        <f t="shared" si="48"/>
        <v>0.000000001-0.00000000000000001i</v>
      </c>
      <c r="AR161" s="105" t="str">
        <f t="shared" si="59"/>
        <v>0.00858412698412699+27.6408888888888i</v>
      </c>
      <c r="AS161" s="93" t="str">
        <f t="shared" si="50"/>
        <v>9999999999+9999999i</v>
      </c>
      <c r="AU161" s="87" t="str">
        <f t="shared" si="49"/>
        <v>0.00858412798412699+27.6408888888888i</v>
      </c>
      <c r="AV161" s="87" t="str">
        <f t="shared" si="51"/>
        <v>-190567581.415313+276408974702.518i</v>
      </c>
      <c r="AW161" s="87" t="str">
        <f t="shared" si="52"/>
        <v>9999999999.00858+10000026.6408889i</v>
      </c>
      <c r="AX161" s="87" t="str">
        <f t="shared" si="53"/>
        <v>0.00858420438586967+27.6408888887649i</v>
      </c>
      <c r="AY161" s="87" t="str">
        <f t="shared" si="54"/>
        <v>0.00868420438586967+27.0767891155223i</v>
      </c>
      <c r="AZ161" s="87">
        <f t="shared" si="55"/>
        <v>32.199999999999918</v>
      </c>
      <c r="BA161" s="87">
        <f t="shared" si="56"/>
        <v>27.076790508143183</v>
      </c>
    </row>
    <row r="162" spans="2:53" x14ac:dyDescent="0.25">
      <c r="AO162" s="87">
        <f t="shared" si="57"/>
        <v>32.39999999999992</v>
      </c>
      <c r="AP162" s="126" t="str">
        <f t="shared" si="58"/>
        <v>0.0001-0.560617675876937i</v>
      </c>
      <c r="AQ162" s="105" t="str">
        <f t="shared" si="48"/>
        <v>0.000000001-0.00000000000000001i</v>
      </c>
      <c r="AR162" s="105" t="str">
        <f t="shared" si="59"/>
        <v>0.00858412698412699+27.8125714285714i</v>
      </c>
      <c r="AS162" s="93" t="str">
        <f t="shared" si="50"/>
        <v>9999999999+9999999i</v>
      </c>
      <c r="AU162" s="87" t="str">
        <f t="shared" si="49"/>
        <v>0.00858412798412699+27.8125714285714i</v>
      </c>
      <c r="AV162" s="87" t="str">
        <f t="shared" si="51"/>
        <v>-192284406.640457+278125800099.173i</v>
      </c>
      <c r="AW162" s="87" t="str">
        <f t="shared" si="52"/>
        <v>9999999999.00858+10000026.8125714i</v>
      </c>
      <c r="AX162" s="87" t="str">
        <f t="shared" si="53"/>
        <v>0.00858420533790742+27.8125714284463i</v>
      </c>
      <c r="AY162" s="87" t="str">
        <f t="shared" si="54"/>
        <v>0.00868420533790742+27.2519537525694i</v>
      </c>
      <c r="AZ162" s="87">
        <f t="shared" si="55"/>
        <v>32.39999999999992</v>
      </c>
      <c r="BA162" s="87">
        <f t="shared" si="56"/>
        <v>27.251955136239378</v>
      </c>
    </row>
    <row r="163" spans="2:53" x14ac:dyDescent="0.25">
      <c r="AO163" s="87">
        <f t="shared" si="57"/>
        <v>32.599999999999923</v>
      </c>
      <c r="AP163" s="126" t="str">
        <f t="shared" si="58"/>
        <v>0.0001-0.557178303632293i</v>
      </c>
      <c r="AQ163" s="105" t="str">
        <f t="shared" si="48"/>
        <v>0.000000001-0.00000000000000001i</v>
      </c>
      <c r="AR163" s="105" t="str">
        <f t="shared" si="59"/>
        <v>0.00858412698412699+27.9842539682539i</v>
      </c>
      <c r="AS163" s="93" t="str">
        <f t="shared" si="50"/>
        <v>9999999999+9999999i</v>
      </c>
      <c r="AU163" s="87" t="str">
        <f t="shared" si="49"/>
        <v>0.00858412798412699+27.9842539682539i</v>
      </c>
      <c r="AV163" s="87" t="str">
        <f t="shared" si="51"/>
        <v>-194001231.865599+279842625495.826i</v>
      </c>
      <c r="AW163" s="87" t="str">
        <f t="shared" si="52"/>
        <v>9999999999.00858+10000026.984254i</v>
      </c>
      <c r="AX163" s="87" t="str">
        <f t="shared" si="53"/>
        <v>0.00858420629584043+27.9842539681276i</v>
      </c>
      <c r="AY163" s="87" t="str">
        <f t="shared" si="54"/>
        <v>0.00868420629584043+27.4270756644953i</v>
      </c>
      <c r="AZ163" s="87">
        <f t="shared" si="55"/>
        <v>32.599999999999923</v>
      </c>
      <c r="BA163" s="87">
        <f t="shared" si="56"/>
        <v>27.427077039330847</v>
      </c>
    </row>
    <row r="164" spans="2:53" x14ac:dyDescent="0.25">
      <c r="AO164" s="87">
        <f t="shared" si="57"/>
        <v>32.799999999999926</v>
      </c>
      <c r="AP164" s="126" t="str">
        <f t="shared" si="58"/>
        <v>0.0001-0.553780874951608i</v>
      </c>
      <c r="AQ164" s="105" t="str">
        <f t="shared" si="48"/>
        <v>0.000000001-0.00000000000000001i</v>
      </c>
      <c r="AR164" s="105" t="str">
        <f t="shared" si="59"/>
        <v>0.00858412698412699+28.1559365079365i</v>
      </c>
      <c r="AS164" s="93" t="str">
        <f t="shared" si="50"/>
        <v>9999999999+9999999i</v>
      </c>
      <c r="AU164" s="87" t="str">
        <f t="shared" si="49"/>
        <v>0.00858412798412699+28.1559365079365i</v>
      </c>
      <c r="AV164" s="87" t="str">
        <f t="shared" si="51"/>
        <v>-195718057.090743+281559450892.48i</v>
      </c>
      <c r="AW164" s="87" t="str">
        <f t="shared" si="52"/>
        <v>9999999999.00858+10000027.1559365i</v>
      </c>
      <c r="AX164" s="87" t="str">
        <f t="shared" si="53"/>
        <v>0.00858420725966801+28.1559365078089i</v>
      </c>
      <c r="AY164" s="87" t="str">
        <f t="shared" si="54"/>
        <v>0.00868420725966801+27.6021556328573i</v>
      </c>
      <c r="AZ164" s="87">
        <f t="shared" si="55"/>
        <v>32.799999999999926</v>
      </c>
      <c r="BA164" s="87">
        <f t="shared" si="56"/>
        <v>27.602156998972596</v>
      </c>
    </row>
    <row r="165" spans="2:53" x14ac:dyDescent="0.25">
      <c r="AO165" s="87">
        <f t="shared" si="57"/>
        <v>32.999999999999929</v>
      </c>
      <c r="AP165" s="126" t="str">
        <f t="shared" si="58"/>
        <v>0.0001-0.550424627224628i</v>
      </c>
      <c r="AQ165" s="105" t="str">
        <f t="shared" si="48"/>
        <v>0.000000001-0.00000000000000001i</v>
      </c>
      <c r="AR165" s="105" t="str">
        <f t="shared" si="59"/>
        <v>0.00858412698412699+28.327619047619i</v>
      </c>
      <c r="AS165" s="93" t="str">
        <f t="shared" si="50"/>
        <v>9999999999+9999999i</v>
      </c>
      <c r="AU165" s="87" t="str">
        <f t="shared" si="49"/>
        <v>0.00858412798412699+28.327619047619i</v>
      </c>
      <c r="AV165" s="87" t="str">
        <f t="shared" si="51"/>
        <v>-197434882.315885+283276276289.134i</v>
      </c>
      <c r="AW165" s="87" t="str">
        <f t="shared" si="52"/>
        <v>9999999999.00858+10000027.327619i</v>
      </c>
      <c r="AX165" s="87" t="str">
        <f t="shared" si="53"/>
        <v>0.00858420822939077+28.3276190474902i</v>
      </c>
      <c r="AY165" s="87" t="str">
        <f t="shared" si="54"/>
        <v>0.00868420822939077+27.7771944202656i</v>
      </c>
      <c r="AZ165" s="87">
        <f t="shared" si="55"/>
        <v>32.999999999999929</v>
      </c>
      <c r="BA165" s="87">
        <f t="shared" si="56"/>
        <v>27.777195777772583</v>
      </c>
    </row>
    <row r="166" spans="2:53" x14ac:dyDescent="0.25">
      <c r="AO166" s="87">
        <f t="shared" si="57"/>
        <v>33.199999999999932</v>
      </c>
      <c r="AP166" s="126" t="str">
        <f t="shared" si="58"/>
        <v>0.0001-0.547108816217251i</v>
      </c>
      <c r="AQ166" s="105" t="str">
        <f t="shared" si="48"/>
        <v>0.000000001-0.00000000000000001i</v>
      </c>
      <c r="AR166" s="105" t="str">
        <f t="shared" si="59"/>
        <v>0.00858412698412699+28.4993015873015i</v>
      </c>
      <c r="AS166" s="93" t="str">
        <f t="shared" si="50"/>
        <v>9999999999+9999999i</v>
      </c>
      <c r="AU166" s="87" t="str">
        <f t="shared" si="49"/>
        <v>0.00858412798412699+28.4993015873015i</v>
      </c>
      <c r="AV166" s="87" t="str">
        <f t="shared" si="51"/>
        <v>-199151707.541028+284993101685.787i</v>
      </c>
      <c r="AW166" s="87" t="str">
        <f t="shared" si="52"/>
        <v>9999999999.00858+10000027.4993016i</v>
      </c>
      <c r="AX166" s="87" t="str">
        <f t="shared" si="53"/>
        <v>0.00858420920500859+28.4993015871714i</v>
      </c>
      <c r="AY166" s="87" t="str">
        <f t="shared" si="54"/>
        <v>0.00868420920500859+27.9521927709541i</v>
      </c>
      <c r="AZ166" s="87">
        <f t="shared" si="55"/>
        <v>33.199999999999932</v>
      </c>
      <c r="BA166" s="87">
        <f t="shared" si="56"/>
        <v>27.952194119962535</v>
      </c>
    </row>
    <row r="167" spans="2:53" ht="21" x14ac:dyDescent="0.35">
      <c r="B167" s="286" t="s">
        <v>192</v>
      </c>
      <c r="C167" s="286"/>
      <c r="D167" s="286"/>
      <c r="E167" s="286"/>
      <c r="F167" s="286"/>
      <c r="G167" s="286"/>
      <c r="H167" s="286"/>
      <c r="I167" s="286"/>
      <c r="J167" s="286"/>
      <c r="K167" s="286"/>
      <c r="L167" s="286"/>
      <c r="AO167" s="87">
        <f t="shared" si="57"/>
        <v>33.399999999999935</v>
      </c>
      <c r="AP167" s="126" t="str">
        <f t="shared" si="58"/>
        <v>0.0001-0.543832715521339i</v>
      </c>
      <c r="AQ167" s="105" t="str">
        <f t="shared" si="48"/>
        <v>0.000000001-0.00000000000000001i</v>
      </c>
      <c r="AR167" s="105" t="str">
        <f t="shared" si="59"/>
        <v>0.00858412698412699+28.6709841269841i</v>
      </c>
      <c r="AS167" s="93" t="str">
        <f t="shared" si="50"/>
        <v>9999999999+9999999i</v>
      </c>
      <c r="AU167" s="87" t="str">
        <f t="shared" si="49"/>
        <v>0.00858412798412699+28.6709841269841i</v>
      </c>
      <c r="AV167" s="87" t="str">
        <f t="shared" si="51"/>
        <v>-200868532.766171+286709927082.441i</v>
      </c>
      <c r="AW167" s="87" t="str">
        <f t="shared" si="52"/>
        <v>9999999999.00858+10000027.6709841i</v>
      </c>
      <c r="AX167" s="87" t="str">
        <f t="shared" si="53"/>
        <v>0.00858421018652121+28.6709841268527i</v>
      </c>
      <c r="AY167" s="87" t="str">
        <f t="shared" si="54"/>
        <v>0.00868421018652121+28.1271514113314i</v>
      </c>
      <c r="AZ167" s="87">
        <f t="shared" si="55"/>
        <v>33.399999999999935</v>
      </c>
      <c r="BA167" s="87">
        <f t="shared" si="56"/>
        <v>28.127152751948934</v>
      </c>
    </row>
    <row r="168" spans="2:53" x14ac:dyDescent="0.25">
      <c r="B168" s="91"/>
      <c r="D168" s="92"/>
      <c r="AO168" s="87">
        <f t="shared" si="57"/>
        <v>33.599999999999937</v>
      </c>
      <c r="AP168" s="126" t="str">
        <f t="shared" si="58"/>
        <v>0.0001-0.540595616024189i</v>
      </c>
      <c r="AQ168" s="105" t="str">
        <f t="shared" si="48"/>
        <v>0.000000001-0.00000000000000001i</v>
      </c>
      <c r="AR168" s="105" t="str">
        <f t="shared" si="59"/>
        <v>0.00858412698412699+28.8426666666666i</v>
      </c>
      <c r="AS168" s="93" t="str">
        <f t="shared" si="50"/>
        <v>9999999999+9999999i</v>
      </c>
      <c r="AU168" s="87" t="str">
        <f t="shared" si="49"/>
        <v>0.00858412798412699+28.8426666666666i</v>
      </c>
      <c r="AV168" s="87" t="str">
        <f t="shared" si="51"/>
        <v>-202585357.991314+288426752479.095i</v>
      </c>
      <c r="AW168" s="87" t="str">
        <f t="shared" si="52"/>
        <v>9999999999.00858+10000027.8426667i</v>
      </c>
      <c r="AX168" s="87" t="str">
        <f t="shared" si="53"/>
        <v>0.00858421117392908+28.8426666665339i</v>
      </c>
      <c r="AY168" s="87" t="str">
        <f t="shared" si="54"/>
        <v>0.00868421117392908+28.3020710505097i</v>
      </c>
      <c r="AZ168" s="87">
        <f t="shared" si="55"/>
        <v>33.599999999999937</v>
      </c>
      <c r="BA168" s="87">
        <f t="shared" si="56"/>
        <v>28.302072382841914</v>
      </c>
    </row>
    <row r="169" spans="2:53" x14ac:dyDescent="0.25">
      <c r="B169" s="91" t="s">
        <v>190</v>
      </c>
      <c r="D169" s="92">
        <f>0.05*D31*3</f>
        <v>63.572564441556722</v>
      </c>
      <c r="E169" s="87" t="str">
        <f t="shared" ref="E169:E179" si="60">"Watts, 3-Phase or "&amp;ROUND(D169*3.412141,0)&amp;" BTUs/Hour"</f>
        <v>Watts, 3-Phase or 217 BTUs/Hour</v>
      </c>
      <c r="AO169" s="87">
        <f t="shared" si="57"/>
        <v>33.79999999999994</v>
      </c>
      <c r="AP169" s="126" t="str">
        <f t="shared" si="58"/>
        <v>0.0001-0.537396825396826i</v>
      </c>
      <c r="AQ169" s="105" t="str">
        <f t="shared" si="48"/>
        <v>0.000000001-0.00000000000000001i</v>
      </c>
      <c r="AR169" s="105" t="str">
        <f t="shared" si="59"/>
        <v>0.00858412698412699+29.0143492063492i</v>
      </c>
      <c r="AS169" s="93" t="str">
        <f t="shared" si="50"/>
        <v>9999999999+9999999i</v>
      </c>
      <c r="AU169" s="87" t="str">
        <f t="shared" si="49"/>
        <v>0.00858412798412699+29.0143492063492i</v>
      </c>
      <c r="AV169" s="87" t="str">
        <f t="shared" si="51"/>
        <v>-204302183.216457+290143577875.749i</v>
      </c>
      <c r="AW169" s="87" t="str">
        <f t="shared" si="52"/>
        <v>9999999999.00858+10000028.0143492i</v>
      </c>
      <c r="AX169" s="87" t="str">
        <f t="shared" si="53"/>
        <v>0.00858421216723163+29.0143492062152i</v>
      </c>
      <c r="AY169" s="87" t="str">
        <f t="shared" si="54"/>
        <v>0.00868421216723163+28.4769523808184i</v>
      </c>
      <c r="AZ169" s="87">
        <f t="shared" si="55"/>
        <v>33.79999999999994</v>
      </c>
      <c r="BA169" s="87">
        <f t="shared" si="56"/>
        <v>28.47695370496886</v>
      </c>
    </row>
    <row r="170" spans="2:53" x14ac:dyDescent="0.25">
      <c r="B170" s="99" t="s">
        <v>188</v>
      </c>
      <c r="D170" s="92">
        <f>(1.8*D35+11)*D32*3</f>
        <v>812.83659404179639</v>
      </c>
      <c r="E170" s="87" t="str">
        <f t="shared" si="60"/>
        <v>Watts, 3-Phase or 2774 BTUs/Hour</v>
      </c>
      <c r="H170" s="87" t="s">
        <v>0</v>
      </c>
      <c r="J170" s="106"/>
      <c r="K170" s="105"/>
      <c r="AO170" s="87">
        <f t="shared" si="57"/>
        <v>33.999999999999943</v>
      </c>
      <c r="AP170" s="126" t="str">
        <f t="shared" si="58"/>
        <v>0.0001-0.534235667600374i</v>
      </c>
      <c r="AQ170" s="105" t="str">
        <f t="shared" si="48"/>
        <v>0.000000001-0.00000000000000001i</v>
      </c>
      <c r="AR170" s="105" t="str">
        <f t="shared" si="59"/>
        <v>0.00858412698412699+29.1860317460317i</v>
      </c>
      <c r="AS170" s="93" t="str">
        <f t="shared" si="50"/>
        <v>9999999999+9999999i</v>
      </c>
      <c r="AU170" s="87" t="str">
        <f t="shared" si="49"/>
        <v>0.00858412798412699+29.1860317460317i</v>
      </c>
      <c r="AV170" s="87" t="str">
        <f t="shared" si="51"/>
        <v>-206019008.441599+291860403272.402i</v>
      </c>
      <c r="AW170" s="87" t="str">
        <f t="shared" si="52"/>
        <v>9999999999.00858+10000028.1860317i</v>
      </c>
      <c r="AX170" s="87" t="str">
        <f t="shared" si="53"/>
        <v>0.00858421316642916+29.1860317458964i</v>
      </c>
      <c r="AY170" s="87" t="str">
        <f t="shared" si="54"/>
        <v>0.00868421316642916+28.651796078296i</v>
      </c>
      <c r="AZ170" s="87">
        <f t="shared" si="55"/>
        <v>33.999999999999943</v>
      </c>
      <c r="BA170" s="87">
        <f t="shared" si="56"/>
        <v>28.651797394366312</v>
      </c>
    </row>
    <row r="171" spans="2:53" x14ac:dyDescent="0.25">
      <c r="B171" s="91"/>
      <c r="D171" s="92"/>
      <c r="H171" s="87" t="s">
        <v>0</v>
      </c>
      <c r="J171" s="106"/>
      <c r="K171" s="105"/>
      <c r="AO171" s="87">
        <f t="shared" si="57"/>
        <v>34.199999999999946</v>
      </c>
      <c r="AP171" s="126" t="str">
        <f t="shared" si="58"/>
        <v>0.0001-0.531111482409729i</v>
      </c>
      <c r="AQ171" s="105" t="str">
        <f t="shared" si="48"/>
        <v>0.000000001-0.00000000000000001i</v>
      </c>
      <c r="AR171" s="105" t="str">
        <f t="shared" si="59"/>
        <v>0.00858412698412699+29.3577142857143i</v>
      </c>
      <c r="AS171" s="93" t="str">
        <f t="shared" si="50"/>
        <v>9999999999+9999999i</v>
      </c>
      <c r="AU171" s="87" t="str">
        <f t="shared" si="49"/>
        <v>0.00858412798412699+29.3577142857143i</v>
      </c>
      <c r="AV171" s="87" t="str">
        <f t="shared" si="51"/>
        <v>-207735833.666743+293577228669.057i</v>
      </c>
      <c r="AW171" s="87" t="str">
        <f t="shared" si="52"/>
        <v>9999999999.00858+10000028.3577143i</v>
      </c>
      <c r="AX171" s="87" t="str">
        <f t="shared" si="53"/>
        <v>0.00858421417152195+29.3577142855778i</v>
      </c>
      <c r="AY171" s="87" t="str">
        <f t="shared" si="54"/>
        <v>0.00868421417152195+28.8266028031681i</v>
      </c>
      <c r="AZ171" s="87">
        <f t="shared" si="55"/>
        <v>34.199999999999946</v>
      </c>
      <c r="BA171" s="87">
        <f t="shared" si="56"/>
        <v>28.826604111257964</v>
      </c>
    </row>
    <row r="172" spans="2:53" x14ac:dyDescent="0.25">
      <c r="B172" s="81"/>
      <c r="D172" s="25"/>
      <c r="AO172" s="87">
        <f t="shared" si="57"/>
        <v>34.399999999999949</v>
      </c>
      <c r="AP172" s="126" t="str">
        <f t="shared" si="58"/>
        <v>0.0001-0.528023624953858i</v>
      </c>
      <c r="AQ172" s="105" t="str">
        <f t="shared" si="48"/>
        <v>0.000000001-0.00000000000000001i</v>
      </c>
      <c r="AR172" s="105" t="str">
        <f t="shared" si="59"/>
        <v>0.00858412698412699+29.5293968253968i</v>
      </c>
      <c r="AS172" s="93" t="str">
        <f t="shared" si="50"/>
        <v>9999999999+9999999i</v>
      </c>
      <c r="AU172" s="87" t="str">
        <f t="shared" si="49"/>
        <v>0.00858412798412699+29.5293968253968i</v>
      </c>
      <c r="AV172" s="87" t="str">
        <f t="shared" si="51"/>
        <v>-209452658.891885+295294054065.71i</v>
      </c>
      <c r="AW172" s="87" t="str">
        <f t="shared" si="52"/>
        <v>9999999999.00858+10000028.5293968i</v>
      </c>
      <c r="AX172" s="87" t="str">
        <f t="shared" si="53"/>
        <v>0.00858421518250942+29.5293968252589i</v>
      </c>
      <c r="AY172" s="87" t="str">
        <f t="shared" si="54"/>
        <v>0.00868421518250942+29.001373200305i</v>
      </c>
      <c r="AZ172" s="87">
        <f t="shared" si="55"/>
        <v>34.399999999999949</v>
      </c>
      <c r="BA172" s="87">
        <f t="shared" si="56"/>
        <v>29.001374500512256</v>
      </c>
    </row>
    <row r="173" spans="2:53" x14ac:dyDescent="0.25">
      <c r="B173" s="91"/>
      <c r="D173" s="92"/>
      <c r="AO173" s="87">
        <f t="shared" si="57"/>
        <v>34.599999999999952</v>
      </c>
      <c r="AP173" s="126" t="str">
        <f t="shared" si="58"/>
        <v>0.0001-0.524971465272044i</v>
      </c>
      <c r="AQ173" s="105" t="str">
        <f t="shared" si="48"/>
        <v>0.000000001-0.00000000000000001i</v>
      </c>
      <c r="AR173" s="105" t="str">
        <f t="shared" si="59"/>
        <v>0.00858412698412699+29.7010793650793i</v>
      </c>
      <c r="AS173" s="93" t="str">
        <f t="shared" si="50"/>
        <v>9999999999+9999999i</v>
      </c>
      <c r="AU173" s="87" t="str">
        <f t="shared" si="49"/>
        <v>0.00858412798412699+29.7010793650793i</v>
      </c>
      <c r="AV173" s="87" t="str">
        <f t="shared" si="51"/>
        <v>-211169484.117028+297010879462.363i</v>
      </c>
      <c r="AW173" s="87" t="str">
        <f t="shared" si="52"/>
        <v>9999999999.00858+10000028.7010794i</v>
      </c>
      <c r="AX173" s="87" t="str">
        <f t="shared" si="53"/>
        <v>0.00858421619939206+29.7010793649401i</v>
      </c>
      <c r="AY173" s="87" t="str">
        <f t="shared" si="54"/>
        <v>0.00868421619939206+29.1761078996681i</v>
      </c>
      <c r="AZ173" s="87">
        <f t="shared" si="55"/>
        <v>34.599999999999952</v>
      </c>
      <c r="BA173" s="87">
        <f t="shared" si="56"/>
        <v>29.176109192088763</v>
      </c>
    </row>
    <row r="174" spans="2:53" x14ac:dyDescent="0.25">
      <c r="B174" s="81" t="str">
        <f>"Iron-Core Reactor Losses, "&amp;D11&amp;" Hertz"</f>
        <v>Iron-Core Reactor Losses, 60 Hertz</v>
      </c>
      <c r="D174" s="92">
        <f>0.578*0.578*3*T100</f>
        <v>498.32818623122347</v>
      </c>
      <c r="E174" s="87" t="str">
        <f t="shared" si="60"/>
        <v>Watts, 3-Phase or 1700 BTUs/Hour</v>
      </c>
      <c r="AO174" s="87">
        <f t="shared" si="57"/>
        <v>34.799999999999955</v>
      </c>
      <c r="AP174" s="126" t="str">
        <f t="shared" si="58"/>
        <v>0.0001-0.521954387885423i</v>
      </c>
      <c r="AQ174" s="105" t="str">
        <f t="shared" si="48"/>
        <v>0.000000001-0.00000000000000001i</v>
      </c>
      <c r="AR174" s="105" t="str">
        <f t="shared" si="59"/>
        <v>0.00858412698412699+29.8727619047619i</v>
      </c>
      <c r="AS174" s="93" t="str">
        <f t="shared" si="50"/>
        <v>9999999999+9999999i</v>
      </c>
      <c r="AU174" s="87" t="str">
        <f t="shared" si="49"/>
        <v>0.00858412798412699+29.8727619047619i</v>
      </c>
      <c r="AV174" s="87" t="str">
        <f t="shared" si="51"/>
        <v>-212886309.342171+298727704859.018i</v>
      </c>
      <c r="AW174" s="87" t="str">
        <f t="shared" si="52"/>
        <v>9999999999.00858+10000028.8727619i</v>
      </c>
      <c r="AX174" s="87" t="str">
        <f t="shared" si="53"/>
        <v>0.00858421722216957+29.8727619046214i</v>
      </c>
      <c r="AY174" s="87" t="str">
        <f t="shared" si="54"/>
        <v>0.00868421722216957+29.350807516736i</v>
      </c>
      <c r="AZ174" s="87">
        <f t="shared" si="55"/>
        <v>34.799999999999955</v>
      </c>
      <c r="BA174" s="87">
        <f t="shared" si="56"/>
        <v>29.350808801464318</v>
      </c>
    </row>
    <row r="175" spans="2:53" ht="15.75" thickBot="1" x14ac:dyDescent="0.3">
      <c r="B175" s="91" t="s">
        <v>193</v>
      </c>
      <c r="D175" s="182">
        <f>0.578*0.578*3*SUM(U100:AI100)</f>
        <v>31.145511639451467</v>
      </c>
      <c r="E175" s="87" t="str">
        <f t="shared" si="60"/>
        <v>Watts, 3-Phase or 106 BTUs/Hour</v>
      </c>
      <c r="AO175" s="87">
        <f t="shared" si="57"/>
        <v>34.999999999999957</v>
      </c>
      <c r="AP175" s="126" t="str">
        <f t="shared" si="58"/>
        <v>0.0001-0.518971791383221i</v>
      </c>
      <c r="AQ175" s="105" t="str">
        <f t="shared" si="48"/>
        <v>0.000000001-0.00000000000000001i</v>
      </c>
      <c r="AR175" s="105" t="str">
        <f t="shared" si="59"/>
        <v>0.00858412698412699+30.0444444444444i</v>
      </c>
      <c r="AS175" s="93" t="str">
        <f t="shared" si="50"/>
        <v>9999999999+9999999i</v>
      </c>
      <c r="AU175" s="87" t="str">
        <f t="shared" si="49"/>
        <v>0.00858412798412699+30.0444444444444i</v>
      </c>
      <c r="AV175" s="87" t="str">
        <f t="shared" si="51"/>
        <v>-214603134.567314+300444530255.671i</v>
      </c>
      <c r="AW175" s="87" t="str">
        <f t="shared" si="52"/>
        <v>9999999999.00858+10000029.0444444i</v>
      </c>
      <c r="AX175" s="87" t="str">
        <f t="shared" si="53"/>
        <v>0.00858421825084186+30.0444444443026i</v>
      </c>
      <c r="AY175" s="87" t="str">
        <f t="shared" si="54"/>
        <v>0.00868421825084186+29.5254726529194i</v>
      </c>
      <c r="AZ175" s="87">
        <f t="shared" si="55"/>
        <v>34.999999999999957</v>
      </c>
      <c r="BA175" s="87">
        <f t="shared" si="56"/>
        <v>29.525473930047898</v>
      </c>
    </row>
    <row r="176" spans="2:53" ht="15.75" thickTop="1" x14ac:dyDescent="0.25">
      <c r="E176" s="87" t="s">
        <v>0</v>
      </c>
      <c r="AO176" s="87">
        <f t="shared" si="57"/>
        <v>35.19999999999996</v>
      </c>
      <c r="AP176" s="126" t="str">
        <f t="shared" si="58"/>
        <v>0.0001-0.516023088023089i</v>
      </c>
      <c r="AQ176" s="105" t="str">
        <f t="shared" si="48"/>
        <v>0.000000001-0.00000000000000001i</v>
      </c>
      <c r="AR176" s="105" t="str">
        <f t="shared" si="59"/>
        <v>0.00858412698412699+30.216126984127i</v>
      </c>
      <c r="AS176" s="93" t="str">
        <f t="shared" si="50"/>
        <v>9999999999+9999999i</v>
      </c>
      <c r="AU176" s="87" t="str">
        <f t="shared" si="49"/>
        <v>0.00858412798412699+30.216126984127i</v>
      </c>
      <c r="AV176" s="87" t="str">
        <f t="shared" si="51"/>
        <v>-216319959.792457+302161355652.325i</v>
      </c>
      <c r="AW176" s="87" t="str">
        <f t="shared" si="52"/>
        <v>9999999999.00858+10000029.216127i</v>
      </c>
      <c r="AX176" s="87" t="str">
        <f t="shared" si="53"/>
        <v>0.00858421928540953+30.2161269839838i</v>
      </c>
      <c r="AY176" s="87" t="str">
        <f t="shared" si="54"/>
        <v>0.00868421928540953+29.7001038959607i</v>
      </c>
      <c r="AZ176" s="87">
        <f t="shared" si="55"/>
        <v>35.19999999999996</v>
      </c>
      <c r="BA176" s="87">
        <f t="shared" si="56"/>
        <v>29.700105165580215</v>
      </c>
    </row>
    <row r="177" spans="2:53" x14ac:dyDescent="0.25">
      <c r="B177" s="91" t="str">
        <f>"Total "&amp;D11&amp;" Hz Losses "</f>
        <v xml:space="preserve">Total 60 Hz Losses </v>
      </c>
      <c r="D177" s="92">
        <f>SUM(D168:D172)+SUM(D174)</f>
        <v>1374.7373447145767</v>
      </c>
      <c r="E177" s="87" t="str">
        <f t="shared" si="60"/>
        <v>Watts, 3-Phase or 4691 BTUs/Hour</v>
      </c>
      <c r="AO177" s="87">
        <f t="shared" si="57"/>
        <v>35.399999999999963</v>
      </c>
      <c r="AP177" s="126" t="str">
        <f t="shared" si="58"/>
        <v>0.0001-0.513107703344992i</v>
      </c>
      <c r="AQ177" s="105" t="str">
        <f t="shared" si="48"/>
        <v>0.000000001-0.00000000000000001i</v>
      </c>
      <c r="AR177" s="105" t="str">
        <f t="shared" si="59"/>
        <v>0.00858412698412699+30.3878095238095i</v>
      </c>
      <c r="AS177" s="93" t="str">
        <f t="shared" si="50"/>
        <v>9999999999+9999999i</v>
      </c>
      <c r="AU177" s="87" t="str">
        <f t="shared" si="49"/>
        <v>0.00858412798412699+30.3878095238095i</v>
      </c>
      <c r="AV177" s="87" t="str">
        <f t="shared" si="51"/>
        <v>-218036785.0176+303878181048.978i</v>
      </c>
      <c r="AW177" s="87" t="str">
        <f t="shared" si="52"/>
        <v>9999999999.00858+10000029.3878095i</v>
      </c>
      <c r="AX177" s="87" t="str">
        <f t="shared" si="53"/>
        <v>0.00858422032587176+30.387809523665i</v>
      </c>
      <c r="AY177" s="87" t="str">
        <f t="shared" si="54"/>
        <v>0.00868422032587176+29.87470182032i</v>
      </c>
      <c r="AZ177" s="87">
        <f t="shared" si="55"/>
        <v>35.399999999999963</v>
      </c>
      <c r="BA177" s="87">
        <f t="shared" si="56"/>
        <v>29.874703082519726</v>
      </c>
    </row>
    <row r="178" spans="2:53" ht="15.75" thickBot="1" x14ac:dyDescent="0.3">
      <c r="B178" s="91" t="s">
        <v>194</v>
      </c>
      <c r="D178" s="182">
        <f>D175+D173</f>
        <v>31.145511639451467</v>
      </c>
      <c r="E178" s="87" t="str">
        <f t="shared" si="60"/>
        <v>Watts, 3-Phase or 106 BTUs/Hour</v>
      </c>
      <c r="AO178" s="87">
        <f t="shared" si="57"/>
        <v>35.599999999999966</v>
      </c>
      <c r="AP178" s="126" t="str">
        <f t="shared" si="58"/>
        <v>0.0001-0.51022507579811i</v>
      </c>
      <c r="AQ178" s="105" t="str">
        <f t="shared" si="48"/>
        <v>0.000000001-0.00000000000000001i</v>
      </c>
      <c r="AR178" s="105" t="str">
        <f t="shared" si="59"/>
        <v>0.00858412698412699+30.559492063492i</v>
      </c>
      <c r="AS178" s="93" t="str">
        <f t="shared" si="50"/>
        <v>9999999999+9999999i</v>
      </c>
      <c r="AU178" s="87" t="str">
        <f t="shared" si="49"/>
        <v>0.00858412798412699+30.559492063492i</v>
      </c>
      <c r="AV178" s="87" t="str">
        <f t="shared" si="51"/>
        <v>-219753610.242742+305595006445.632i</v>
      </c>
      <c r="AW178" s="87" t="str">
        <f t="shared" si="52"/>
        <v>9999999999.00858+10000029.5594921i</v>
      </c>
      <c r="AX178" s="87" t="str">
        <f t="shared" si="53"/>
        <v>0.00858422137222946+30.5594920633462i</v>
      </c>
      <c r="AY178" s="87" t="str">
        <f t="shared" si="54"/>
        <v>0.00868422137222946+30.0492669875481i</v>
      </c>
      <c r="AZ178" s="87">
        <f t="shared" si="55"/>
        <v>35.599999999999966</v>
      </c>
      <c r="BA178" s="87">
        <f t="shared" si="56"/>
        <v>30.049268242415636</v>
      </c>
    </row>
    <row r="179" spans="2:53" ht="15.75" thickTop="1" x14ac:dyDescent="0.25">
      <c r="B179" s="183" t="s">
        <v>195</v>
      </c>
      <c r="C179" s="96"/>
      <c r="D179" s="184">
        <f>SUM(D177:D178)</f>
        <v>1405.8828563540283</v>
      </c>
      <c r="E179" s="96" t="str">
        <f t="shared" si="60"/>
        <v>Watts, 3-Phase or 4797 BTUs/Hour</v>
      </c>
      <c r="F179" s="96"/>
      <c r="G179" s="96"/>
      <c r="H179" s="96"/>
      <c r="I179" s="96"/>
      <c r="J179" s="96"/>
      <c r="K179" s="96"/>
      <c r="L179" s="96"/>
      <c r="AO179" s="87">
        <f t="shared" si="57"/>
        <v>35.799999999999969</v>
      </c>
      <c r="AP179" s="126" t="str">
        <f t="shared" si="58"/>
        <v>0.0001-0.507374656380243i</v>
      </c>
      <c r="AQ179" s="105" t="str">
        <f t="shared" si="48"/>
        <v>0.000000001-0.00000000000000001i</v>
      </c>
      <c r="AR179" s="105" t="str">
        <f t="shared" si="59"/>
        <v>0.00858412698412699+30.7311746031746i</v>
      </c>
      <c r="AS179" s="93" t="str">
        <f t="shared" si="50"/>
        <v>9999999999+9999999i</v>
      </c>
      <c r="AU179" s="87" t="str">
        <f t="shared" si="49"/>
        <v>0.00858412798412699+30.7311746031746i</v>
      </c>
      <c r="AV179" s="87" t="str">
        <f t="shared" si="51"/>
        <v>-221470435.467886+307311831842.286i</v>
      </c>
      <c r="AW179" s="87" t="str">
        <f t="shared" si="52"/>
        <v>9999999999.00858+10000029.7311746i</v>
      </c>
      <c r="AX179" s="87" t="str">
        <f t="shared" si="53"/>
        <v>0.00858422242448164+30.7311746030274i</v>
      </c>
      <c r="AY179" s="87" t="str">
        <f t="shared" si="54"/>
        <v>0.00868422242448164+30.2237999466472i</v>
      </c>
      <c r="AZ179" s="87">
        <f t="shared" si="55"/>
        <v>35.799999999999969</v>
      </c>
      <c r="BA179" s="87">
        <f t="shared" si="56"/>
        <v>30.223801194268571</v>
      </c>
    </row>
    <row r="180" spans="2:53" x14ac:dyDescent="0.25">
      <c r="AO180" s="87">
        <f t="shared" si="57"/>
        <v>35.999999999999972</v>
      </c>
      <c r="AP180" s="126" t="str">
        <f t="shared" si="58"/>
        <v>0.0001-0.504555908289242i</v>
      </c>
      <c r="AQ180" s="105" t="str">
        <f t="shared" si="48"/>
        <v>0.000000001-0.00000000000000001i</v>
      </c>
      <c r="AR180" s="105" t="str">
        <f t="shared" si="59"/>
        <v>0.00858412698412699+30.9028571428571i</v>
      </c>
      <c r="AS180" s="93" t="str">
        <f t="shared" si="50"/>
        <v>9999999999+9999999i</v>
      </c>
      <c r="AU180" s="87" t="str">
        <f t="shared" si="49"/>
        <v>0.00858412798412699+30.9028571428571i</v>
      </c>
      <c r="AV180" s="87" t="str">
        <f t="shared" si="51"/>
        <v>-223187260.693028+309028657238.939i</v>
      </c>
      <c r="AW180" s="87" t="str">
        <f t="shared" si="52"/>
        <v>9999999999.00858+10000029.9028571i</v>
      </c>
      <c r="AX180" s="87" t="str">
        <f t="shared" si="53"/>
        <v>0.0085842234826289+30.9028571427085i</v>
      </c>
      <c r="AY180" s="87" t="str">
        <f t="shared" si="54"/>
        <v>0.0086842234826289+30.3983012344193i</v>
      </c>
      <c r="AZ180" s="87">
        <f t="shared" si="55"/>
        <v>35.999999999999972</v>
      </c>
      <c r="BA180" s="87">
        <f t="shared" si="56"/>
        <v>30.398302474879014</v>
      </c>
    </row>
    <row r="181" spans="2:53" x14ac:dyDescent="0.25">
      <c r="AO181" s="87">
        <f t="shared" si="57"/>
        <v>36.199999999999974</v>
      </c>
      <c r="AP181" s="126" t="str">
        <f t="shared" si="58"/>
        <v>0.0001-0.501768306585987i</v>
      </c>
      <c r="AQ181" s="105" t="str">
        <f t="shared" si="48"/>
        <v>0.000000001-0.00000000000000001i</v>
      </c>
      <c r="AR181" s="105" t="str">
        <f t="shared" si="59"/>
        <v>0.00858412698412699+31.0745396825397i</v>
      </c>
      <c r="AS181" s="93" t="str">
        <f t="shared" si="50"/>
        <v>9999999999+9999999i</v>
      </c>
      <c r="AU181" s="87" t="str">
        <f t="shared" si="49"/>
        <v>0.00858412798412699+31.0745396825397i</v>
      </c>
      <c r="AV181" s="87" t="str">
        <f t="shared" si="51"/>
        <v>-224904085.918172+310745482635.594i</v>
      </c>
      <c r="AW181" s="87" t="str">
        <f t="shared" si="52"/>
        <v>9999999999.00858+10000030.0745397i</v>
      </c>
      <c r="AX181" s="87" t="str">
        <f t="shared" si="53"/>
        <v>0.00858422454667142+31.0745396823898i</v>
      </c>
      <c r="AY181" s="87" t="str">
        <f t="shared" si="54"/>
        <v>0.00868422454667142+30.5727713758038i</v>
      </c>
      <c r="AZ181" s="87">
        <f t="shared" si="55"/>
        <v>36.199999999999974</v>
      </c>
      <c r="BA181" s="87">
        <f t="shared" si="56"/>
        <v>30.57277260918486</v>
      </c>
    </row>
    <row r="182" spans="2:53" x14ac:dyDescent="0.25">
      <c r="AO182" s="87">
        <f t="shared" si="57"/>
        <v>36.399999999999977</v>
      </c>
      <c r="AP182" s="126" t="str">
        <f t="shared" si="58"/>
        <v>0.0001-0.499011337868481i</v>
      </c>
      <c r="AQ182" s="105" t="str">
        <f t="shared" si="48"/>
        <v>0.000000001-0.00000000000000001i</v>
      </c>
      <c r="AR182" s="105" t="str">
        <f t="shared" si="59"/>
        <v>0.00858412698412699+31.2462222222222i</v>
      </c>
      <c r="AS182" s="93" t="str">
        <f t="shared" si="50"/>
        <v>9999999999+9999999i</v>
      </c>
      <c r="AU182" s="87" t="str">
        <f t="shared" si="49"/>
        <v>0.00858412798412699+31.2462222222222i</v>
      </c>
      <c r="AV182" s="87" t="str">
        <f t="shared" si="51"/>
        <v>-226620911.143314+312462308032.247i</v>
      </c>
      <c r="AW182" s="87" t="str">
        <f t="shared" si="52"/>
        <v>9999999999.00858+10000030.2462222i</v>
      </c>
      <c r="AX182" s="87" t="str">
        <f t="shared" si="53"/>
        <v>0.00858422561660861+31.2462222220709i</v>
      </c>
      <c r="AY182" s="87" t="str">
        <f t="shared" si="54"/>
        <v>0.00868422561660861+30.7472108842024i</v>
      </c>
      <c r="AZ182" s="87">
        <f t="shared" si="55"/>
        <v>36.399999999999977</v>
      </c>
      <c r="BA182" s="87">
        <f t="shared" si="56"/>
        <v>30.747212110586364</v>
      </c>
    </row>
    <row r="183" spans="2:53" x14ac:dyDescent="0.25">
      <c r="AO183" s="87">
        <f t="shared" si="57"/>
        <v>36.59999999999998</v>
      </c>
      <c r="AP183" s="126" t="str">
        <f t="shared" si="58"/>
        <v>0.0001-0.496284499956631i</v>
      </c>
      <c r="AQ183" s="105" t="str">
        <f t="shared" si="48"/>
        <v>0.000000001-0.00000000000000001i</v>
      </c>
      <c r="AR183" s="105" t="str">
        <f t="shared" si="59"/>
        <v>0.00858412698412699+31.4179047619048i</v>
      </c>
      <c r="AS183" s="93" t="str">
        <f t="shared" si="50"/>
        <v>9999999999+9999999i</v>
      </c>
      <c r="AU183" s="87" t="str">
        <f t="shared" si="49"/>
        <v>0.00858412798412699+31.4179047619048i</v>
      </c>
      <c r="AV183" s="87" t="str">
        <f t="shared" si="51"/>
        <v>-228337736.368457+314179133428.901i</v>
      </c>
      <c r="AW183" s="87" t="str">
        <f t="shared" si="52"/>
        <v>9999999999.00858+10000030.4179048i</v>
      </c>
      <c r="AX183" s="87" t="str">
        <f t="shared" si="53"/>
        <v>0.0085842266924411+31.4179047617521i</v>
      </c>
      <c r="AY183" s="87" t="str">
        <f t="shared" si="54"/>
        <v>0.0086842266924411+30.9216202617955i</v>
      </c>
      <c r="AZ183" s="87">
        <f t="shared" si="55"/>
        <v>36.59999999999998</v>
      </c>
      <c r="BA183" s="87">
        <f t="shared" si="56"/>
        <v>30.921621481262509</v>
      </c>
    </row>
    <row r="184" spans="2:53" x14ac:dyDescent="0.25">
      <c r="AO184" s="87">
        <f t="shared" si="57"/>
        <v>36.799999999999983</v>
      </c>
      <c r="AP184" s="126" t="str">
        <f t="shared" si="58"/>
        <v>0.0001-0.493587301587302i</v>
      </c>
      <c r="AQ184" s="105" t="str">
        <f t="shared" si="48"/>
        <v>0.000000001-0.00000000000000001i</v>
      </c>
      <c r="AR184" s="105" t="str">
        <f t="shared" si="59"/>
        <v>0.00858412698412699+31.5895873015873i</v>
      </c>
      <c r="AS184" s="93" t="str">
        <f t="shared" si="50"/>
        <v>9999999999+9999999i</v>
      </c>
      <c r="AU184" s="87" t="str">
        <f t="shared" si="49"/>
        <v>0.00858412798412699+31.5895873015873i</v>
      </c>
      <c r="AV184" s="87" t="str">
        <f t="shared" si="51"/>
        <v>-230054561.5936+315895958825.555i</v>
      </c>
      <c r="AW184" s="87" t="str">
        <f t="shared" si="52"/>
        <v>9999999999.00858+10000030.5895873i</v>
      </c>
      <c r="AX184" s="87" t="str">
        <f t="shared" si="53"/>
        <v>0.00858422777416823+31.5895873014333i</v>
      </c>
      <c r="AY184" s="87" t="str">
        <f t="shared" si="54"/>
        <v>0.00868422777416823+31.095999999846i</v>
      </c>
      <c r="AZ184" s="87">
        <f t="shared" si="55"/>
        <v>36.799999999999983</v>
      </c>
      <c r="BA184" s="87">
        <f t="shared" si="56"/>
        <v>31.096001212474807</v>
      </c>
    </row>
    <row r="185" spans="2:53" x14ac:dyDescent="0.25">
      <c r="AO185" s="87">
        <f t="shared" si="57"/>
        <v>36.999999999999986</v>
      </c>
      <c r="AP185" s="126" t="str">
        <f t="shared" si="58"/>
        <v>0.0001-0.490919262119262i</v>
      </c>
      <c r="AQ185" s="105" t="str">
        <f t="shared" si="48"/>
        <v>0.000000001-0.00000000000000001i</v>
      </c>
      <c r="AR185" s="105" t="str">
        <f t="shared" si="59"/>
        <v>0.00858412698412699+31.7612698412698i</v>
      </c>
      <c r="AS185" s="93" t="str">
        <f t="shared" si="50"/>
        <v>9999999999+9999999i</v>
      </c>
      <c r="AU185" s="87" t="str">
        <f t="shared" si="49"/>
        <v>0.00858412798412699+31.7612698412698i</v>
      </c>
      <c r="AV185" s="87" t="str">
        <f t="shared" si="51"/>
        <v>-231771386.818742+317612784222.208i</v>
      </c>
      <c r="AW185" s="87" t="str">
        <f t="shared" si="52"/>
        <v>9999999999.00858+10000030.7612698i</v>
      </c>
      <c r="AX185" s="87" t="str">
        <f t="shared" si="53"/>
        <v>0.00858422886179034+31.7612698411144i</v>
      </c>
      <c r="AY185" s="87" t="str">
        <f t="shared" si="54"/>
        <v>0.00868422886179034+31.2703505789951i</v>
      </c>
      <c r="AZ185" s="87">
        <f t="shared" si="55"/>
        <v>36.999999999999986</v>
      </c>
      <c r="BA185" s="87">
        <f t="shared" si="56"/>
        <v>31.270351784863085</v>
      </c>
    </row>
    <row r="186" spans="2:53" x14ac:dyDescent="0.25">
      <c r="AO186" s="87">
        <f t="shared" si="57"/>
        <v>37.199999999999989</v>
      </c>
      <c r="AP186" s="126" t="str">
        <f t="shared" si="58"/>
        <v>0.0001-0.488279911247653i</v>
      </c>
      <c r="AQ186" s="105" t="str">
        <f t="shared" si="48"/>
        <v>0.000000001-0.00000000000000001i</v>
      </c>
      <c r="AR186" s="105" t="str">
        <f t="shared" si="59"/>
        <v>0.00858412698412699+31.9329523809524i</v>
      </c>
      <c r="AS186" s="93" t="str">
        <f t="shared" si="50"/>
        <v>9999999999+9999999i</v>
      </c>
      <c r="AU186" s="87" t="str">
        <f t="shared" si="49"/>
        <v>0.00858412798412699+31.9329523809524i</v>
      </c>
      <c r="AV186" s="87" t="str">
        <f t="shared" si="51"/>
        <v>-233488212.043886+319329609618.862i</v>
      </c>
      <c r="AW186" s="87" t="str">
        <f t="shared" si="52"/>
        <v>9999999999.00858+10000030.9329524i</v>
      </c>
      <c r="AX186" s="87" t="str">
        <f t="shared" si="53"/>
        <v>0.00858422995530765+31.9329523807956i</v>
      </c>
      <c r="AY186" s="87" t="str">
        <f t="shared" si="54"/>
        <v>0.00868422995530765+31.4446724695479i</v>
      </c>
      <c r="AZ186" s="87">
        <f t="shared" si="55"/>
        <v>37.199999999999989</v>
      </c>
      <c r="BA186" s="87">
        <f t="shared" si="56"/>
        <v>31.444673668731141</v>
      </c>
    </row>
    <row r="187" spans="2:53" x14ac:dyDescent="0.25">
      <c r="AO187" s="87">
        <f t="shared" si="57"/>
        <v>37.399999999999991</v>
      </c>
      <c r="AP187" s="126" t="str">
        <f t="shared" si="58"/>
        <v>0.0001-0.485668788727612i</v>
      </c>
      <c r="AQ187" s="105" t="str">
        <f t="shared" si="48"/>
        <v>0.000000001-0.00000000000000001i</v>
      </c>
      <c r="AR187" s="105" t="str">
        <f t="shared" si="59"/>
        <v>0.00858412698412699+32.1046349206349i</v>
      </c>
      <c r="AS187" s="93" t="str">
        <f t="shared" si="50"/>
        <v>9999999999+9999999i</v>
      </c>
      <c r="AU187" s="87" t="str">
        <f t="shared" si="49"/>
        <v>0.00858412798412699+32.1046349206349i</v>
      </c>
      <c r="AV187" s="87" t="str">
        <f t="shared" si="51"/>
        <v>-235205037.269028+321046435015.516i</v>
      </c>
      <c r="AW187" s="87" t="str">
        <f t="shared" si="52"/>
        <v>9999999999.00858+10000031.1046349i</v>
      </c>
      <c r="AX187" s="87" t="str">
        <f t="shared" si="53"/>
        <v>0.0085842310547198+32.1046349204768i</v>
      </c>
      <c r="AY187" s="87" t="str">
        <f t="shared" si="54"/>
        <v>0.0086842310547198+31.6189661317492i</v>
      </c>
      <c r="AZ187" s="87">
        <f t="shared" si="55"/>
        <v>37.399999999999991</v>
      </c>
      <c r="BA187" s="87">
        <f t="shared" si="56"/>
        <v>31.618967324322469</v>
      </c>
    </row>
    <row r="188" spans="2:53" x14ac:dyDescent="0.25">
      <c r="AO188" s="87">
        <f t="shared" si="57"/>
        <v>37.599999999999994</v>
      </c>
      <c r="AP188" s="126" t="str">
        <f t="shared" si="58"/>
        <v>0.0001-0.483085444106721i</v>
      </c>
      <c r="AQ188" s="105" t="str">
        <f t="shared" si="48"/>
        <v>0.000000001-0.00000000000000001i</v>
      </c>
      <c r="AR188" s="105" t="str">
        <f t="shared" si="59"/>
        <v>0.00858412698412699+32.2763174603175i</v>
      </c>
      <c r="AS188" s="93" t="str">
        <f t="shared" si="50"/>
        <v>9999999999+9999999i</v>
      </c>
      <c r="AU188" s="87" t="str">
        <f t="shared" si="49"/>
        <v>0.00858412798412699+32.2763174603175i</v>
      </c>
      <c r="AV188" s="87" t="str">
        <f t="shared" si="51"/>
        <v>-236921862.494172+322763260412.17i</v>
      </c>
      <c r="AW188" s="87" t="str">
        <f t="shared" si="52"/>
        <v>9999999999.00858+10000031.2763175i</v>
      </c>
      <c r="AX188" s="87" t="str">
        <f t="shared" si="53"/>
        <v>0.00858423216002705+32.2763174601579i</v>
      </c>
      <c r="AY188" s="87" t="str">
        <f t="shared" si="54"/>
        <v>0.00868423216002705+31.7932320160512i</v>
      </c>
      <c r="AZ188" s="87">
        <f t="shared" si="55"/>
        <v>37.599999999999994</v>
      </c>
      <c r="BA188" s="87">
        <f t="shared" si="56"/>
        <v>31.793233202088004</v>
      </c>
    </row>
    <row r="189" spans="2:53" x14ac:dyDescent="0.25">
      <c r="AO189" s="87">
        <f t="shared" si="57"/>
        <v>37.799999999999997</v>
      </c>
      <c r="AP189" s="126" t="str">
        <f t="shared" si="58"/>
        <v>0.0001-0.480529436465945i</v>
      </c>
      <c r="AQ189" s="105" t="str">
        <f t="shared" si="48"/>
        <v>0.000000001-0.00000000000000001i</v>
      </c>
      <c r="AR189" s="105" t="str">
        <f t="shared" si="59"/>
        <v>0.00858412698412699+32.448i</v>
      </c>
      <c r="AS189" s="93" t="str">
        <f t="shared" si="50"/>
        <v>9999999999+9999999i</v>
      </c>
      <c r="AU189" s="87" t="str">
        <f t="shared" si="49"/>
        <v>0.00858412798412699+32.448i</v>
      </c>
      <c r="AV189" s="87" t="str">
        <f t="shared" si="51"/>
        <v>-238638687.719314+324480085808.823i</v>
      </c>
      <c r="AW189" s="87" t="str">
        <f t="shared" si="52"/>
        <v>9999999999.00858+10000031.448i</v>
      </c>
      <c r="AX189" s="87" t="str">
        <f t="shared" si="53"/>
        <v>0.00858423327122906+32.447999999839i</v>
      </c>
      <c r="AY189" s="87" t="str">
        <f t="shared" si="54"/>
        <v>0.00868423327122906+31.9674705633731i</v>
      </c>
      <c r="AZ189" s="87">
        <f t="shared" si="55"/>
        <v>37.799999999999997</v>
      </c>
      <c r="BA189" s="87">
        <f t="shared" si="56"/>
        <v>31.967471742945719</v>
      </c>
    </row>
    <row r="190" spans="2:53" x14ac:dyDescent="0.25">
      <c r="AO190" s="87">
        <f t="shared" si="57"/>
        <v>38</v>
      </c>
      <c r="AP190" s="126" t="str">
        <f t="shared" si="58"/>
        <v>0.0001-0.478000334168755i</v>
      </c>
      <c r="AQ190" s="105" t="str">
        <f t="shared" si="48"/>
        <v>0.000000001-0.00000000000000001i</v>
      </c>
      <c r="AR190" s="105" t="str">
        <f t="shared" si="59"/>
        <v>0.00858412698412699+32.6196825396826i</v>
      </c>
      <c r="AS190" s="93" t="str">
        <f t="shared" si="50"/>
        <v>9999999999+9999999i</v>
      </c>
      <c r="AU190" s="87" t="str">
        <f t="shared" si="49"/>
        <v>0.00858412798412699+32.6196825396826i</v>
      </c>
      <c r="AV190" s="87" t="str">
        <f t="shared" si="51"/>
        <v>-240355512.944458+326196911205.478i</v>
      </c>
      <c r="AW190" s="87" t="str">
        <f t="shared" si="52"/>
        <v>9999999999.00858+10000031.6196825i</v>
      </c>
      <c r="AX190" s="87" t="str">
        <f t="shared" si="53"/>
        <v>0.00858423438832603+32.6196825395203i</v>
      </c>
      <c r="AY190" s="87" t="str">
        <f t="shared" si="54"/>
        <v>0.00868423438832603+32.1416822053515i</v>
      </c>
      <c r="AZ190" s="87">
        <f t="shared" si="55"/>
        <v>38</v>
      </c>
      <c r="BA190" s="87">
        <f t="shared" si="56"/>
        <v>32.141683378531006</v>
      </c>
    </row>
    <row r="191" spans="2:53" x14ac:dyDescent="0.25">
      <c r="AO191" s="87">
        <f t="shared" si="57"/>
        <v>38.200000000000003</v>
      </c>
      <c r="AP191" s="126" t="str">
        <f t="shared" si="58"/>
        <v>0.0001-0.475497714618134i</v>
      </c>
      <c r="AQ191" s="105" t="str">
        <f t="shared" si="48"/>
        <v>0.000000001-0.00000000000000001i</v>
      </c>
      <c r="AR191" s="105" t="str">
        <f t="shared" si="59"/>
        <v>0.00858412698412699+32.7913650793651i</v>
      </c>
      <c r="AS191" s="93" t="str">
        <f t="shared" si="50"/>
        <v>9999999999+9999999i</v>
      </c>
      <c r="AU191" s="87" t="str">
        <f t="shared" si="49"/>
        <v>0.00858412798412699+32.7913650793651i</v>
      </c>
      <c r="AV191" s="87" t="str">
        <f t="shared" si="51"/>
        <v>-242072338.1696+327913736602.131i</v>
      </c>
      <c r="AW191" s="87" t="str">
        <f t="shared" si="52"/>
        <v>9999999999.00858+10000031.7913651i</v>
      </c>
      <c r="AX191" s="87" t="str">
        <f t="shared" si="53"/>
        <v>0.00858423551131829+32.7913650792013i</v>
      </c>
      <c r="AY191" s="87" t="str">
        <f t="shared" si="54"/>
        <v>0.00868423551131829+32.3158673645832i</v>
      </c>
      <c r="AZ191" s="87">
        <f t="shared" si="55"/>
        <v>38.200000000000003</v>
      </c>
      <c r="BA191" s="87">
        <f t="shared" si="56"/>
        <v>32.31586853143947</v>
      </c>
    </row>
    <row r="192" spans="2:53" x14ac:dyDescent="0.25">
      <c r="AO192" s="87">
        <f t="shared" si="57"/>
        <v>38.400000000000006</v>
      </c>
      <c r="AP192" s="126" t="str">
        <f t="shared" si="58"/>
        <v>0.0001-0.473021164021164i</v>
      </c>
      <c r="AQ192" s="105" t="str">
        <f t="shared" si="48"/>
        <v>0.000000001-0.00000000000000001i</v>
      </c>
      <c r="AR192" s="105" t="str">
        <f t="shared" si="59"/>
        <v>0.00858412698412699+32.9630476190476i</v>
      </c>
      <c r="AS192" s="93" t="str">
        <f t="shared" si="50"/>
        <v>9999999999+9999999i</v>
      </c>
      <c r="AU192" s="87" t="str">
        <f t="shared" si="49"/>
        <v>0.00858412798412699+32.9630476190476i</v>
      </c>
      <c r="AV192" s="87" t="str">
        <f t="shared" si="51"/>
        <v>-243789163.394743+329630561998.784i</v>
      </c>
      <c r="AW192" s="87" t="str">
        <f t="shared" si="52"/>
        <v>9999999999.00858+10000031.9630476i</v>
      </c>
      <c r="AX192" s="87" t="str">
        <f t="shared" si="53"/>
        <v>0.00858423664020511+32.9630476188823i</v>
      </c>
      <c r="AY192" s="87" t="str">
        <f t="shared" si="54"/>
        <v>0.00868423664020511+32.4900264548611i</v>
      </c>
      <c r="AZ192" s="87">
        <f t="shared" si="55"/>
        <v>38.400000000000006</v>
      </c>
      <c r="BA192" s="87">
        <f t="shared" si="56"/>
        <v>32.490027615462871</v>
      </c>
    </row>
    <row r="193" spans="41:53" x14ac:dyDescent="0.25">
      <c r="AO193" s="87">
        <f t="shared" si="57"/>
        <v>38.600000000000009</v>
      </c>
      <c r="AP193" s="126" t="str">
        <f t="shared" si="58"/>
        <v>0.0001-0.470570277160951i</v>
      </c>
      <c r="AQ193" s="105" t="str">
        <f t="shared" si="48"/>
        <v>0.000000001-0.00000000000000001i</v>
      </c>
      <c r="AR193" s="105" t="str">
        <f t="shared" si="59"/>
        <v>0.00858412698412699+33.1347301587302i</v>
      </c>
      <c r="AS193" s="93" t="str">
        <f t="shared" si="50"/>
        <v>9999999999+9999999i</v>
      </c>
      <c r="AU193" s="87" t="str">
        <f t="shared" si="49"/>
        <v>0.00858412798412699+33.1347301587302i</v>
      </c>
      <c r="AV193" s="87" t="str">
        <f t="shared" si="51"/>
        <v>-245505988.619886+331347387395.439i</v>
      </c>
      <c r="AW193" s="87" t="str">
        <f t="shared" si="52"/>
        <v>9999999999.00858+10000032.1347302i</v>
      </c>
      <c r="AX193" s="87" t="str">
        <f t="shared" si="53"/>
        <v>0.00858423777498744+33.1347301585636i</v>
      </c>
      <c r="AY193" s="87" t="str">
        <f t="shared" si="54"/>
        <v>0.00868423777498744+32.6641598814026i</v>
      </c>
      <c r="AZ193" s="87">
        <f t="shared" si="55"/>
        <v>38.600000000000009</v>
      </c>
      <c r="BA193" s="87">
        <f t="shared" si="56"/>
        <v>32.664161035817479</v>
      </c>
    </row>
    <row r="194" spans="41:53" x14ac:dyDescent="0.25">
      <c r="AO194" s="87">
        <f t="shared" si="57"/>
        <v>38.800000000000011</v>
      </c>
      <c r="AP194" s="126" t="str">
        <f t="shared" si="58"/>
        <v>0.0001-0.468144657175585i</v>
      </c>
      <c r="AQ194" s="105" t="str">
        <f t="shared" si="48"/>
        <v>0.000000001-0.00000000000000001i</v>
      </c>
      <c r="AR194" s="105" t="str">
        <f t="shared" si="59"/>
        <v>0.00858412698412699+33.3064126984127i</v>
      </c>
      <c r="AS194" s="93" t="str">
        <f t="shared" si="50"/>
        <v>9999999999+9999999i</v>
      </c>
      <c r="AU194" s="87" t="str">
        <f t="shared" si="49"/>
        <v>0.00858412798412699+33.3064126984127i</v>
      </c>
      <c r="AV194" s="87" t="str">
        <f t="shared" si="51"/>
        <v>-247222813.845029+333064212792.092i</v>
      </c>
      <c r="AW194" s="87" t="str">
        <f t="shared" si="52"/>
        <v>9999999999.00858+10000032.3064127i</v>
      </c>
      <c r="AX194" s="87" t="str">
        <f t="shared" si="53"/>
        <v>0.00858423891566419+33.3064126982446i</v>
      </c>
      <c r="AY194" s="87" t="str">
        <f t="shared" si="54"/>
        <v>0.00868423891566419+32.838268041069i</v>
      </c>
      <c r="AZ194" s="87">
        <f t="shared" si="55"/>
        <v>38.800000000000011</v>
      </c>
      <c r="BA194" s="87">
        <f t="shared" si="56"/>
        <v>32.838269189363487</v>
      </c>
    </row>
    <row r="195" spans="41:53" x14ac:dyDescent="0.25">
      <c r="AO195" s="87">
        <f t="shared" si="57"/>
        <v>39.000000000000014</v>
      </c>
      <c r="AP195" s="126" t="str">
        <f t="shared" si="58"/>
        <v>0.0001-0.465743915343915i</v>
      </c>
      <c r="AQ195" s="105" t="str">
        <f t="shared" si="48"/>
        <v>0.000000001-0.00000000000000001i</v>
      </c>
      <c r="AR195" s="105" t="str">
        <f t="shared" si="59"/>
        <v>0.00858412698412699+33.4780952380953i</v>
      </c>
      <c r="AS195" s="93" t="str">
        <f t="shared" si="50"/>
        <v>9999999999+9999999i</v>
      </c>
      <c r="AU195" s="87" t="str">
        <f t="shared" si="49"/>
        <v>0.00858412798412699+33.4780952380953i</v>
      </c>
      <c r="AV195" s="87" t="str">
        <f t="shared" si="51"/>
        <v>-248939639.070172+334781038188.746i</v>
      </c>
      <c r="AW195" s="87" t="str">
        <f t="shared" si="52"/>
        <v>9999999999.00858+10000032.4780952i</v>
      </c>
      <c r="AX195" s="87" t="str">
        <f t="shared" si="53"/>
        <v>0.00858424006223602+33.4780952379257i</v>
      </c>
      <c r="AY195" s="87" t="str">
        <f t="shared" si="54"/>
        <v>0.00868424006223602+33.0123513225818i</v>
      </c>
      <c r="AZ195" s="87">
        <f t="shared" si="55"/>
        <v>39.000000000000014</v>
      </c>
      <c r="BA195" s="87">
        <f t="shared" si="56"/>
        <v>33.012352464821312</v>
      </c>
    </row>
    <row r="196" spans="41:53" x14ac:dyDescent="0.25">
      <c r="AO196" s="87">
        <f t="shared" si="57"/>
        <v>39.200000000000017</v>
      </c>
      <c r="AP196" s="126" t="str">
        <f t="shared" si="58"/>
        <v>0.0001-0.463367670877875i</v>
      </c>
      <c r="AQ196" s="105" t="str">
        <f t="shared" si="48"/>
        <v>0.000000001-0.00000000000000001i</v>
      </c>
      <c r="AR196" s="105" t="str">
        <f t="shared" si="59"/>
        <v>0.00858412698412699+33.6497777777778i</v>
      </c>
      <c r="AS196" s="93" t="str">
        <f t="shared" si="50"/>
        <v>9999999999+9999999i</v>
      </c>
      <c r="AU196" s="87" t="str">
        <f t="shared" si="49"/>
        <v>0.00858412798412699+33.6497777777778i</v>
      </c>
      <c r="AV196" s="87" t="str">
        <f t="shared" si="51"/>
        <v>-250656464.295314+336497863585.399i</v>
      </c>
      <c r="AW196" s="87" t="str">
        <f t="shared" si="52"/>
        <v>9999999999.00858+10000032.6497778i</v>
      </c>
      <c r="AX196" s="87" t="str">
        <f t="shared" si="53"/>
        <v>0.00858424121470317+33.6497777776068i</v>
      </c>
      <c r="AY196" s="87" t="str">
        <f t="shared" si="54"/>
        <v>0.00868424121470317+33.1864101067289i</v>
      </c>
      <c r="AZ196" s="87">
        <f t="shared" si="55"/>
        <v>39.200000000000017</v>
      </c>
      <c r="BA196" s="87">
        <f t="shared" si="56"/>
        <v>33.186411242977805</v>
      </c>
    </row>
    <row r="197" spans="41:53" x14ac:dyDescent="0.25">
      <c r="AO197" s="87">
        <f t="shared" si="57"/>
        <v>39.40000000000002</v>
      </c>
      <c r="AP197" s="126" t="str">
        <f t="shared" si="58"/>
        <v>0.0001-0.461015550721134i</v>
      </c>
      <c r="AQ197" s="105" t="str">
        <f t="shared" ref="AQ197:AQ250" si="61">COMPLEX(0.000000001,-1*0.00000000000000001)</f>
        <v>0.000000001-0.00000000000000001i</v>
      </c>
      <c r="AR197" s="105" t="str">
        <f t="shared" si="59"/>
        <v>0.00858412698412699+33.8214603174603i</v>
      </c>
      <c r="AS197" s="93" t="str">
        <f t="shared" si="50"/>
        <v>9999999999+9999999i</v>
      </c>
      <c r="AU197" s="87" t="str">
        <f t="shared" ref="AU197:AU250" si="62">IMSUM(AR197,AQ197)</f>
        <v>0.00858412798412699+33.8214603174603i</v>
      </c>
      <c r="AV197" s="87" t="str">
        <f t="shared" si="51"/>
        <v>-252373289.520457+338214688982.053i</v>
      </c>
      <c r="AW197" s="87" t="str">
        <f t="shared" si="52"/>
        <v>9999999999.00858+10000032.8214603i</v>
      </c>
      <c r="AX197" s="87" t="str">
        <f t="shared" si="53"/>
        <v>0.00858424237306495+33.8214603172879i</v>
      </c>
      <c r="AY197" s="87" t="str">
        <f t="shared" si="54"/>
        <v>0.00868424237306495+33.3604447665668i</v>
      </c>
      <c r="AZ197" s="87">
        <f t="shared" si="55"/>
        <v>39.40000000000002</v>
      </c>
      <c r="BA197" s="87">
        <f t="shared" si="56"/>
        <v>33.360445896888422</v>
      </c>
    </row>
    <row r="198" spans="41:53" x14ac:dyDescent="0.25">
      <c r="AO198" s="87">
        <f t="shared" si="57"/>
        <v>39.600000000000023</v>
      </c>
      <c r="AP198" s="126" t="str">
        <f t="shared" si="58"/>
        <v>0.0001-0.458687189353856i</v>
      </c>
      <c r="AQ198" s="105" t="str">
        <f t="shared" si="61"/>
        <v>0.000000001-0.00000000000000001i</v>
      </c>
      <c r="AR198" s="105" t="str">
        <f t="shared" si="59"/>
        <v>0.00858412698412699+33.9931428571429i</v>
      </c>
      <c r="AS198" s="93" t="str">
        <f t="shared" ref="AS198:AS250" si="63">COMPLEX(9999999999,9999999)</f>
        <v>9999999999+9999999i</v>
      </c>
      <c r="AU198" s="87" t="str">
        <f t="shared" si="62"/>
        <v>0.00858412798412699+33.9931428571429i</v>
      </c>
      <c r="AV198" s="87" t="str">
        <f t="shared" ref="AV198:AV250" si="64">IMPRODUCT(AU198,AS198)</f>
        <v>-254090114.7456+339931514378.707i</v>
      </c>
      <c r="AW198" s="87" t="str">
        <f t="shared" ref="AW198:AW250" si="65">IMSUM(AS198,AU198)</f>
        <v>9999999999.00858+10000032.9931429i</v>
      </c>
      <c r="AX198" s="87" t="str">
        <f t="shared" ref="AX198:AX250" si="66">IMDIV(AV198,AW198)</f>
        <v>0.00858424353732204+33.993142856969i</v>
      </c>
      <c r="AY198" s="87" t="str">
        <f t="shared" ref="AY198:AY250" si="67">IMSUM(AX198,AP198)</f>
        <v>0.00868424353732204+33.5344556676151i</v>
      </c>
      <c r="AZ198" s="87">
        <f t="shared" ref="AZ198:AZ250" si="68">AO198</f>
        <v>39.600000000000023</v>
      </c>
      <c r="BA198" s="87">
        <f t="shared" ref="BA198:BA250" si="69">IMABS(AY198)</f>
        <v>33.534456792071765</v>
      </c>
    </row>
    <row r="199" spans="41:53" x14ac:dyDescent="0.25">
      <c r="AO199" s="87">
        <f t="shared" ref="AO199:AO250" si="70">AO198+0.2</f>
        <v>39.800000000000026</v>
      </c>
      <c r="AP199" s="126" t="str">
        <f t="shared" si="58"/>
        <v>0.0001-0.456382228603334i</v>
      </c>
      <c r="AQ199" s="105" t="str">
        <f t="shared" si="61"/>
        <v>0.000000001-0.00000000000000001i</v>
      </c>
      <c r="AR199" s="105" t="str">
        <f t="shared" si="59"/>
        <v>0.00858412698412699+34.1648253968254i</v>
      </c>
      <c r="AS199" s="93" t="str">
        <f t="shared" si="63"/>
        <v>9999999999+9999999i</v>
      </c>
      <c r="AU199" s="87" t="str">
        <f t="shared" si="62"/>
        <v>0.00858412798412699+34.1648253968254i</v>
      </c>
      <c r="AV199" s="87" t="str">
        <f t="shared" si="64"/>
        <v>-255806939.970743+341648339775.36i</v>
      </c>
      <c r="AW199" s="87" t="str">
        <f t="shared" si="65"/>
        <v>9999999999.00858+10000033.1648254i</v>
      </c>
      <c r="AX199" s="87" t="str">
        <f t="shared" si="66"/>
        <v>0.00858424470747366+34.16482539665i</v>
      </c>
      <c r="AY199" s="87" t="str">
        <f t="shared" si="67"/>
        <v>0.00868424470747366+33.7084431680467i</v>
      </c>
      <c r="AZ199" s="87">
        <f t="shared" si="68"/>
        <v>39.800000000000026</v>
      </c>
      <c r="BA199" s="87">
        <f t="shared" si="69"/>
        <v>33.708444286699738</v>
      </c>
    </row>
    <row r="200" spans="41:53" x14ac:dyDescent="0.25">
      <c r="AO200" s="87">
        <f t="shared" si="70"/>
        <v>40.000000000000028</v>
      </c>
      <c r="AP200" s="126" t="str">
        <f t="shared" si="58"/>
        <v>0.0001-0.454100317460317i</v>
      </c>
      <c r="AQ200" s="105" t="str">
        <f t="shared" si="61"/>
        <v>0.000000001-0.00000000000000001i</v>
      </c>
      <c r="AR200" s="105" t="str">
        <f t="shared" si="59"/>
        <v>0.00858412698412699+34.336507936508i</v>
      </c>
      <c r="AS200" s="93" t="str">
        <f t="shared" si="63"/>
        <v>9999999999+9999999i</v>
      </c>
      <c r="AU200" s="87" t="str">
        <f t="shared" si="62"/>
        <v>0.00858412798412699+34.336507936508i</v>
      </c>
      <c r="AV200" s="87" t="str">
        <f t="shared" si="64"/>
        <v>-257523765.195886+343365165172.015i</v>
      </c>
      <c r="AW200" s="87" t="str">
        <f t="shared" si="65"/>
        <v>9999999999.00858+10000033.3365079i</v>
      </c>
      <c r="AX200" s="87" t="str">
        <f t="shared" si="66"/>
        <v>0.00858424588352046+34.3365079363312i</v>
      </c>
      <c r="AY200" s="87" t="str">
        <f t="shared" si="67"/>
        <v>0.00868424588352046+33.8824076188709i</v>
      </c>
      <c r="AZ200" s="87">
        <f t="shared" si="68"/>
        <v>40.000000000000028</v>
      </c>
      <c r="BA200" s="87">
        <f t="shared" si="69"/>
        <v>33.882408731780671</v>
      </c>
    </row>
    <row r="201" spans="41:53" x14ac:dyDescent="0.25">
      <c r="AO201" s="87">
        <f t="shared" si="70"/>
        <v>40.200000000000031</v>
      </c>
      <c r="AP201" s="126" t="str">
        <f t="shared" si="58"/>
        <v>0.0001-0.451841111900813i</v>
      </c>
      <c r="AQ201" s="105" t="str">
        <f t="shared" si="61"/>
        <v>0.000000001-0.00000000000000001i</v>
      </c>
      <c r="AR201" s="105" t="str">
        <f t="shared" si="59"/>
        <v>0.00858412698412699+34.5081904761905i</v>
      </c>
      <c r="AS201" s="93" t="str">
        <f t="shared" si="63"/>
        <v>9999999999+9999999i</v>
      </c>
      <c r="AU201" s="87" t="str">
        <f t="shared" si="62"/>
        <v>0.00858412798412699+34.5081904761905i</v>
      </c>
      <c r="AV201" s="87" t="str">
        <f t="shared" si="64"/>
        <v>-259240590.421029+345081990568.668i</v>
      </c>
      <c r="AW201" s="87" t="str">
        <f t="shared" si="65"/>
        <v>9999999999.00858+10000033.5081905i</v>
      </c>
      <c r="AX201" s="87" t="str">
        <f t="shared" si="66"/>
        <v>0.00858424706546238+34.5081904760122i</v>
      </c>
      <c r="AY201" s="87" t="str">
        <f t="shared" si="67"/>
        <v>0.00868424706546238+34.0563493641114i</v>
      </c>
      <c r="AZ201" s="87">
        <f t="shared" si="68"/>
        <v>40.200000000000031</v>
      </c>
      <c r="BA201" s="87">
        <f t="shared" si="69"/>
        <v>34.056350471337325</v>
      </c>
    </row>
    <row r="202" spans="41:53" x14ac:dyDescent="0.25">
      <c r="AO202" s="87">
        <f t="shared" si="70"/>
        <v>40.400000000000034</v>
      </c>
      <c r="AP202" s="126" t="str">
        <f t="shared" si="58"/>
        <v>0.0001-0.449604274713185i</v>
      </c>
      <c r="AQ202" s="105" t="str">
        <f t="shared" si="61"/>
        <v>0.000000001-0.00000000000000001i</v>
      </c>
      <c r="AR202" s="105" t="str">
        <f t="shared" si="59"/>
        <v>0.00858412698412699+34.6798730158731i</v>
      </c>
      <c r="AS202" s="93" t="str">
        <f t="shared" si="63"/>
        <v>9999999999+9999999i</v>
      </c>
      <c r="AU202" s="87" t="str">
        <f t="shared" si="62"/>
        <v>0.00858412798412699+34.6798730158731i</v>
      </c>
      <c r="AV202" s="87" t="str">
        <f t="shared" si="64"/>
        <v>-260957415.646172+346798815965.322i</v>
      </c>
      <c r="AW202" s="87" t="str">
        <f t="shared" si="65"/>
        <v>9999999999.00858+10000033.679873i</v>
      </c>
      <c r="AX202" s="87" t="str">
        <f t="shared" si="66"/>
        <v>0.00858424825329903+34.6798730156933i</v>
      </c>
      <c r="AY202" s="87" t="str">
        <f t="shared" si="67"/>
        <v>0.00868424825329903+34.2302687409801i</v>
      </c>
      <c r="AZ202" s="87">
        <f t="shared" si="68"/>
        <v>40.400000000000034</v>
      </c>
      <c r="BA202" s="87">
        <f t="shared" si="69"/>
        <v>34.230269842580661</v>
      </c>
    </row>
    <row r="203" spans="41:53" x14ac:dyDescent="0.25">
      <c r="AO203" s="87">
        <f t="shared" si="70"/>
        <v>40.600000000000037</v>
      </c>
      <c r="AP203" s="126" t="str">
        <f t="shared" si="58"/>
        <v>0.0001-0.447389475330362i</v>
      </c>
      <c r="AQ203" s="105" t="str">
        <f t="shared" si="61"/>
        <v>0.000000001-0.00000000000000001i</v>
      </c>
      <c r="AR203" s="105" t="str">
        <f t="shared" si="59"/>
        <v>0.00858412698412699+34.8515555555556i</v>
      </c>
      <c r="AS203" s="93" t="str">
        <f t="shared" si="63"/>
        <v>9999999999+9999999i</v>
      </c>
      <c r="AU203" s="87" t="str">
        <f t="shared" si="62"/>
        <v>0.00858412798412699+34.8515555555556i</v>
      </c>
      <c r="AV203" s="87" t="str">
        <f t="shared" si="64"/>
        <v>-262674240.871315+348515641361.976i</v>
      </c>
      <c r="AW203" s="87" t="str">
        <f t="shared" si="65"/>
        <v>9999999999.00858+10000033.8515556i</v>
      </c>
      <c r="AX203" s="87" t="str">
        <f t="shared" si="66"/>
        <v>0.00858424944703098+34.8515555553743i</v>
      </c>
      <c r="AY203" s="87" t="str">
        <f t="shared" si="67"/>
        <v>0.00868424944703098+34.4041660800439i</v>
      </c>
      <c r="AZ203" s="87">
        <f t="shared" si="68"/>
        <v>40.600000000000037</v>
      </c>
      <c r="BA203" s="87">
        <f t="shared" si="69"/>
        <v>34.404167176076676</v>
      </c>
    </row>
    <row r="204" spans="41:53" x14ac:dyDescent="0.25">
      <c r="AO204" s="87">
        <f t="shared" si="70"/>
        <v>40.80000000000004</v>
      </c>
      <c r="AP204" s="126" t="str">
        <f t="shared" si="58"/>
        <v>0.0001-0.445196389666978i</v>
      </c>
      <c r="AQ204" s="105" t="str">
        <f t="shared" si="61"/>
        <v>0.000000001-0.00000000000000001i</v>
      </c>
      <c r="AR204" s="105" t="str">
        <f t="shared" si="59"/>
        <v>0.00858412698412699+35.0232380952381i</v>
      </c>
      <c r="AS204" s="93" t="str">
        <f t="shared" si="63"/>
        <v>9999999999+9999999i</v>
      </c>
      <c r="AU204" s="87" t="str">
        <f t="shared" si="62"/>
        <v>0.00858412798412699+35.0232380952381i</v>
      </c>
      <c r="AV204" s="87" t="str">
        <f t="shared" si="64"/>
        <v>-264391066.096457+350232466758.629i</v>
      </c>
      <c r="AW204" s="87" t="str">
        <f t="shared" si="65"/>
        <v>9999999999.00858+10000034.0232381i</v>
      </c>
      <c r="AX204" s="87" t="str">
        <f t="shared" si="66"/>
        <v>0.00858425064665756+35.0232380950553i</v>
      </c>
      <c r="AY204" s="87" t="str">
        <f t="shared" si="67"/>
        <v>0.00868425064665756+34.5780417053883i</v>
      </c>
      <c r="AZ204" s="87">
        <f t="shared" si="68"/>
        <v>40.80000000000004</v>
      </c>
      <c r="BA204" s="87">
        <f t="shared" si="69"/>
        <v>34.57804279590998</v>
      </c>
    </row>
    <row r="205" spans="41:53" x14ac:dyDescent="0.25">
      <c r="AO205" s="87">
        <f t="shared" si="70"/>
        <v>41.000000000000043</v>
      </c>
      <c r="AP205" s="126" t="str">
        <f t="shared" si="58"/>
        <v>0.0001-0.443024699961285i</v>
      </c>
      <c r="AQ205" s="105" t="str">
        <f t="shared" si="61"/>
        <v>0.000000001-0.00000000000000001i</v>
      </c>
      <c r="AR205" s="105" t="str">
        <f t="shared" si="59"/>
        <v>0.00858412698412699+35.1949206349207i</v>
      </c>
      <c r="AS205" s="93" t="str">
        <f t="shared" si="63"/>
        <v>9999999999+9999999i</v>
      </c>
      <c r="AU205" s="87" t="str">
        <f t="shared" si="62"/>
        <v>0.00858412798412699+35.1949206349207i</v>
      </c>
      <c r="AV205" s="87" t="str">
        <f t="shared" si="64"/>
        <v>-266107891.321601+351949292155.283i</v>
      </c>
      <c r="AW205" s="87" t="str">
        <f t="shared" si="65"/>
        <v>9999999999.00858+10000034.1949206i</v>
      </c>
      <c r="AX205" s="87" t="str">
        <f t="shared" si="66"/>
        <v>0.00858425185217902+35.1949206347364i</v>
      </c>
      <c r="AY205" s="87" t="str">
        <f t="shared" si="67"/>
        <v>0.00868425185217902+34.7518959347751i</v>
      </c>
      <c r="AZ205" s="87">
        <f t="shared" si="68"/>
        <v>41.000000000000043</v>
      </c>
      <c r="BA205" s="87">
        <f t="shared" si="69"/>
        <v>34.751897019841493</v>
      </c>
    </row>
    <row r="206" spans="41:53" x14ac:dyDescent="0.25">
      <c r="AO206" s="87">
        <f t="shared" si="70"/>
        <v>41.200000000000045</v>
      </c>
      <c r="AP206" s="126" t="str">
        <f t="shared" si="58"/>
        <v>0.0001-0.440874094621667i</v>
      </c>
      <c r="AQ206" s="105" t="str">
        <f t="shared" si="61"/>
        <v>0.000000001-0.00000000000000001i</v>
      </c>
      <c r="AR206" s="105" t="str">
        <f t="shared" si="59"/>
        <v>0.00858412698412699+35.3666031746032i</v>
      </c>
      <c r="AS206" s="93" t="str">
        <f t="shared" si="63"/>
        <v>9999999999+9999999i</v>
      </c>
      <c r="AU206" s="87" t="str">
        <f t="shared" si="62"/>
        <v>0.00858412798412699+35.3666031746032i</v>
      </c>
      <c r="AV206" s="87" t="str">
        <f t="shared" si="64"/>
        <v>-267824716.546743+353666117551.937i</v>
      </c>
      <c r="AW206" s="87" t="str">
        <f t="shared" si="65"/>
        <v>9999999999.00858+10000034.3666032i</v>
      </c>
      <c r="AX206" s="87" t="str">
        <f t="shared" si="66"/>
        <v>0.00858425306359599+35.3666031744175i</v>
      </c>
      <c r="AY206" s="87" t="str">
        <f t="shared" si="67"/>
        <v>0.00868425306359599+34.9257290797958i</v>
      </c>
      <c r="AZ206" s="87">
        <f t="shared" si="68"/>
        <v>41.200000000000045</v>
      </c>
      <c r="BA206" s="87">
        <f t="shared" si="69"/>
        <v>34.925730159461878</v>
      </c>
    </row>
    <row r="207" spans="41:53" x14ac:dyDescent="0.25">
      <c r="AO207" s="87">
        <f t="shared" si="70"/>
        <v>41.400000000000048</v>
      </c>
      <c r="AP207" s="126" t="str">
        <f t="shared" si="58"/>
        <v>0.0001-0.438744268077601i</v>
      </c>
      <c r="AQ207" s="105" t="str">
        <f t="shared" si="61"/>
        <v>0.000000001-0.00000000000000001i</v>
      </c>
      <c r="AR207" s="105" t="str">
        <f t="shared" si="59"/>
        <v>0.00858412698412699+35.5382857142858i</v>
      </c>
      <c r="AS207" s="93" t="str">
        <f t="shared" si="63"/>
        <v>9999999999+9999999i</v>
      </c>
      <c r="AU207" s="87" t="str">
        <f t="shared" si="62"/>
        <v>0.00858412798412699+35.5382857142858i</v>
      </c>
      <c r="AV207" s="87" t="str">
        <f t="shared" si="64"/>
        <v>-269541541.771887+355382942948.591i</v>
      </c>
      <c r="AW207" s="87" t="str">
        <f t="shared" si="65"/>
        <v>9999999999.00858+10000034.5382857i</v>
      </c>
      <c r="AX207" s="87" t="str">
        <f t="shared" si="66"/>
        <v>0.0085842542809074+35.5382857140985i</v>
      </c>
      <c r="AY207" s="87" t="str">
        <f t="shared" si="67"/>
        <v>0.0086842542809074+35.0995414460209i</v>
      </c>
      <c r="AZ207" s="87">
        <f t="shared" si="68"/>
        <v>41.400000000000048</v>
      </c>
      <c r="BA207" s="87">
        <f t="shared" si="69"/>
        <v>35.099542520340798</v>
      </c>
    </row>
    <row r="208" spans="41:53" x14ac:dyDescent="0.25">
      <c r="AO208" s="87">
        <f t="shared" si="70"/>
        <v>41.600000000000051</v>
      </c>
      <c r="AP208" s="126" t="str">
        <f t="shared" si="58"/>
        <v>0.0001-0.43663492063492i</v>
      </c>
      <c r="AQ208" s="105" t="str">
        <f t="shared" si="61"/>
        <v>0.000000001-0.00000000000000001i</v>
      </c>
      <c r="AR208" s="105" t="str">
        <f t="shared" si="59"/>
        <v>0.00858412698412699+35.7099682539683i</v>
      </c>
      <c r="AS208" s="93" t="str">
        <f t="shared" si="63"/>
        <v>9999999999+9999999i</v>
      </c>
      <c r="AU208" s="87" t="str">
        <f t="shared" si="62"/>
        <v>0.00858412798412699+35.7099682539683i</v>
      </c>
      <c r="AV208" s="87" t="str">
        <f t="shared" si="64"/>
        <v>-271258366.997029+357099768345.244i</v>
      </c>
      <c r="AW208" s="87" t="str">
        <f t="shared" si="65"/>
        <v>9999999999.00858+10000034.7099683i</v>
      </c>
      <c r="AX208" s="87" t="str">
        <f t="shared" si="66"/>
        <v>0.00858425550411424+35.7099682537795i</v>
      </c>
      <c r="AY208" s="87" t="str">
        <f t="shared" si="67"/>
        <v>0.00868425550411424+35.2733333331446i</v>
      </c>
      <c r="AZ208" s="87">
        <f t="shared" si="68"/>
        <v>41.600000000000051</v>
      </c>
      <c r="BA208" s="87">
        <f t="shared" si="69"/>
        <v>35.273334402171606</v>
      </c>
    </row>
    <row r="209" spans="41:53" x14ac:dyDescent="0.25">
      <c r="AO209" s="87">
        <f t="shared" si="70"/>
        <v>41.800000000000054</v>
      </c>
      <c r="AP209" s="126" t="str">
        <f t="shared" si="58"/>
        <v>0.0001-0.434545758335232i</v>
      </c>
      <c r="AQ209" s="105" t="str">
        <f t="shared" si="61"/>
        <v>0.000000001-0.00000000000000001i</v>
      </c>
      <c r="AR209" s="105" t="str">
        <f t="shared" si="59"/>
        <v>0.00858412698412699+35.8816507936509i</v>
      </c>
      <c r="AS209" s="93" t="str">
        <f t="shared" si="63"/>
        <v>9999999999+9999999i</v>
      </c>
      <c r="AU209" s="87" t="str">
        <f t="shared" si="62"/>
        <v>0.00858412798412699+35.8816507936509i</v>
      </c>
      <c r="AV209" s="87" t="str">
        <f t="shared" si="64"/>
        <v>-272975192.222172+358816593741.899i</v>
      </c>
      <c r="AW209" s="87" t="str">
        <f t="shared" si="65"/>
        <v>9999999999.00858+10000034.8816508i</v>
      </c>
      <c r="AX209" s="87" t="str">
        <f t="shared" si="66"/>
        <v>0.00858425673321577+35.8816507934606i</v>
      </c>
      <c r="AY209" s="87" t="str">
        <f t="shared" si="67"/>
        <v>0.00868425673321577+35.4471050351254i</v>
      </c>
      <c r="AZ209" s="87">
        <f t="shared" si="68"/>
        <v>41.800000000000054</v>
      </c>
      <c r="BA209" s="87">
        <f t="shared" si="69"/>
        <v>35.447106098912037</v>
      </c>
    </row>
    <row r="210" spans="41:53" x14ac:dyDescent="0.25">
      <c r="AO210" s="87">
        <f t="shared" si="70"/>
        <v>42.000000000000057</v>
      </c>
      <c r="AP210" s="126" t="str">
        <f t="shared" si="58"/>
        <v>0.0001-0.432476492819349i</v>
      </c>
      <c r="AQ210" s="105" t="str">
        <f t="shared" si="61"/>
        <v>0.000000001-0.00000000000000001i</v>
      </c>
      <c r="AR210" s="105" t="str">
        <f t="shared" si="59"/>
        <v>0.00858412698412699+36.0533333333334i</v>
      </c>
      <c r="AS210" s="93" t="str">
        <f t="shared" si="63"/>
        <v>9999999999+9999999i</v>
      </c>
      <c r="AU210" s="87" t="str">
        <f t="shared" si="62"/>
        <v>0.00858412798412699+36.0533333333334i</v>
      </c>
      <c r="AV210" s="87" t="str">
        <f t="shared" si="64"/>
        <v>-274692017.447315+360533419138.552i</v>
      </c>
      <c r="AW210" s="87" t="str">
        <f t="shared" si="65"/>
        <v>9999999999.00858+10000035.0533333i</v>
      </c>
      <c r="AX210" s="87" t="str">
        <f t="shared" si="66"/>
        <v>0.00858425796821209+36.0533333331415i</v>
      </c>
      <c r="AY210" s="87" t="str">
        <f t="shared" si="67"/>
        <v>0.00868425796821209+35.6208568403222i</v>
      </c>
      <c r="AZ210" s="87">
        <f t="shared" si="68"/>
        <v>42.000000000000057</v>
      </c>
      <c r="BA210" s="87">
        <f t="shared" si="69"/>
        <v>35.620857898920192</v>
      </c>
    </row>
    <row r="211" spans="41:53" x14ac:dyDescent="0.25">
      <c r="AO211" s="87">
        <f t="shared" si="70"/>
        <v>42.20000000000006</v>
      </c>
      <c r="AP211" s="126" t="str">
        <f t="shared" si="58"/>
        <v>0.0001-0.430426841194613i</v>
      </c>
      <c r="AQ211" s="105" t="str">
        <f t="shared" si="61"/>
        <v>0.000000001-0.00000000000000001i</v>
      </c>
      <c r="AR211" s="105" t="str">
        <f t="shared" si="59"/>
        <v>0.00858412698412699+36.2250158730159i</v>
      </c>
      <c r="AS211" s="93" t="str">
        <f t="shared" si="63"/>
        <v>9999999999+9999999i</v>
      </c>
      <c r="AU211" s="87" t="str">
        <f t="shared" si="62"/>
        <v>0.00858412798412699+36.2250158730159i</v>
      </c>
      <c r="AV211" s="87" t="str">
        <f t="shared" si="64"/>
        <v>-276408842.672457+362250244535.205i</v>
      </c>
      <c r="AW211" s="87" t="str">
        <f t="shared" si="65"/>
        <v>9999999999.00858+10000035.2250159i</v>
      </c>
      <c r="AX211" s="87" t="str">
        <f t="shared" si="66"/>
        <v>0.00858425920910385+36.2250158728225i</v>
      </c>
      <c r="AY211" s="87" t="str">
        <f t="shared" si="67"/>
        <v>0.00868425920910385+35.7945890316279i</v>
      </c>
      <c r="AZ211" s="87">
        <f t="shared" si="68"/>
        <v>42.20000000000006</v>
      </c>
      <c r="BA211" s="87">
        <f t="shared" si="69"/>
        <v>35.794590085088203</v>
      </c>
    </row>
    <row r="212" spans="41:53" x14ac:dyDescent="0.25">
      <c r="AO212" s="87">
        <f t="shared" si="70"/>
        <v>42.400000000000063</v>
      </c>
      <c r="AP212" s="126" t="str">
        <f t="shared" si="58"/>
        <v>0.0001-0.428396525905959i</v>
      </c>
      <c r="AQ212" s="105" t="str">
        <f t="shared" si="61"/>
        <v>0.000000001-0.00000000000000001i</v>
      </c>
      <c r="AR212" s="105" t="str">
        <f t="shared" si="59"/>
        <v>0.00858412698412699+36.3966984126985i</v>
      </c>
      <c r="AS212" s="93" t="str">
        <f t="shared" si="63"/>
        <v>9999999999+9999999i</v>
      </c>
      <c r="AU212" s="87" t="str">
        <f t="shared" si="62"/>
        <v>0.00858412798412699+36.3966984126985i</v>
      </c>
      <c r="AV212" s="87" t="str">
        <f t="shared" si="64"/>
        <v>-278125667.897601+363967069931.859i</v>
      </c>
      <c r="AW212" s="87" t="str">
        <f t="shared" si="65"/>
        <v>9999999999.00858+10000035.3966984i</v>
      </c>
      <c r="AX212" s="87" t="str">
        <f t="shared" si="66"/>
        <v>0.00858426045589011+36.3966984125035i</v>
      </c>
      <c r="AY212" s="87" t="str">
        <f t="shared" si="67"/>
        <v>0.00868426045589011+35.9683018865975i</v>
      </c>
      <c r="AZ212" s="87">
        <f t="shared" si="68"/>
        <v>42.400000000000063</v>
      </c>
      <c r="BA212" s="87">
        <f t="shared" si="69"/>
        <v>35.968302934970296</v>
      </c>
    </row>
    <row r="213" spans="41:53" x14ac:dyDescent="0.25">
      <c r="AO213" s="87">
        <f t="shared" si="70"/>
        <v>42.600000000000065</v>
      </c>
      <c r="AP213" s="126" t="str">
        <f t="shared" si="58"/>
        <v>0.0001-0.426385274610626i</v>
      </c>
      <c r="AQ213" s="105" t="str">
        <f t="shared" si="61"/>
        <v>0.000000001-0.00000000000000001i</v>
      </c>
      <c r="AR213" s="105" t="str">
        <f t="shared" si="59"/>
        <v>0.00858412698412699+36.568380952381i</v>
      </c>
      <c r="AS213" s="93" t="str">
        <f t="shared" si="63"/>
        <v>9999999999+9999999i</v>
      </c>
      <c r="AU213" s="87" t="str">
        <f t="shared" si="62"/>
        <v>0.00858412798412699+36.568380952381i</v>
      </c>
      <c r="AV213" s="87" t="str">
        <f t="shared" si="64"/>
        <v>-279842493.122743+365683895328.513i</v>
      </c>
      <c r="AW213" s="87" t="str">
        <f t="shared" si="65"/>
        <v>9999999999.00858+10000035.568381i</v>
      </c>
      <c r="AX213" s="87" t="str">
        <f t="shared" si="66"/>
        <v>0.00858426170857191+36.5683809521845i</v>
      </c>
      <c r="AY213" s="87" t="str">
        <f t="shared" si="67"/>
        <v>0.00868426170857191+36.1419956775739i</v>
      </c>
      <c r="AZ213" s="87">
        <f t="shared" si="68"/>
        <v>42.600000000000065</v>
      </c>
      <c r="BA213" s="87">
        <f t="shared" si="69"/>
        <v>36.141996720908658</v>
      </c>
    </row>
    <row r="214" spans="41:53" x14ac:dyDescent="0.25">
      <c r="AO214" s="87">
        <f t="shared" si="70"/>
        <v>42.800000000000068</v>
      </c>
      <c r="AP214" s="126" t="str">
        <f t="shared" si="58"/>
        <v>0.0001-0.424392820056371i</v>
      </c>
      <c r="AQ214" s="105" t="str">
        <f t="shared" si="61"/>
        <v>0.000000001-0.00000000000000001i</v>
      </c>
      <c r="AR214" s="105" t="str">
        <f t="shared" si="59"/>
        <v>0.00858412698412699+36.7400634920636i</v>
      </c>
      <c r="AS214" s="93" t="str">
        <f t="shared" si="63"/>
        <v>9999999999+9999999i</v>
      </c>
      <c r="AU214" s="87" t="str">
        <f t="shared" si="62"/>
        <v>0.00858412798412699+36.7400634920636i</v>
      </c>
      <c r="AV214" s="87" t="str">
        <f t="shared" si="64"/>
        <v>-281559318.347887+367400720725.167i</v>
      </c>
      <c r="AW214" s="87" t="str">
        <f t="shared" si="65"/>
        <v>9999999999.00858+10000035.7400635i</v>
      </c>
      <c r="AX214" s="87" t="str">
        <f t="shared" si="66"/>
        <v>0.00858426296714812+36.7400634918655i</v>
      </c>
      <c r="AY214" s="87" t="str">
        <f t="shared" si="67"/>
        <v>0.00868426296714812+36.3156706718091i</v>
      </c>
      <c r="AZ214" s="87">
        <f t="shared" si="68"/>
        <v>42.800000000000068</v>
      </c>
      <c r="BA214" s="87">
        <f t="shared" si="69"/>
        <v>36.31567171015454</v>
      </c>
    </row>
    <row r="215" spans="41:53" x14ac:dyDescent="0.25">
      <c r="AO215" s="87">
        <f t="shared" si="70"/>
        <v>43.000000000000071</v>
      </c>
      <c r="AP215" s="126" t="str">
        <f t="shared" si="58"/>
        <v>0.0001-0.422418899963085i</v>
      </c>
      <c r="AQ215" s="105" t="str">
        <f t="shared" si="61"/>
        <v>0.000000001-0.00000000000000001i</v>
      </c>
      <c r="AR215" s="105" t="str">
        <f t="shared" si="59"/>
        <v>0.00858412698412699+36.9117460317461i</v>
      </c>
      <c r="AS215" s="93" t="str">
        <f t="shared" si="63"/>
        <v>9999999999+9999999i</v>
      </c>
      <c r="AU215" s="87" t="str">
        <f t="shared" si="62"/>
        <v>0.00858412798412699+36.9117460317461i</v>
      </c>
      <c r="AV215" s="87" t="str">
        <f t="shared" si="64"/>
        <v>-283276143.573029+369117546121.82i</v>
      </c>
      <c r="AW215" s="87" t="str">
        <f t="shared" si="65"/>
        <v>9999999999.00858+10000035.911746i</v>
      </c>
      <c r="AX215" s="87" t="str">
        <f t="shared" si="66"/>
        <v>0.00858426423161941+36.9117460315464i</v>
      </c>
      <c r="AY215" s="87" t="str">
        <f t="shared" si="67"/>
        <v>0.00868426423161941+36.4893271315833i</v>
      </c>
      <c r="AZ215" s="87">
        <f t="shared" si="68"/>
        <v>43.000000000000071</v>
      </c>
      <c r="BA215" s="87">
        <f t="shared" si="69"/>
        <v>36.489328164987455</v>
      </c>
    </row>
    <row r="216" spans="41:53" x14ac:dyDescent="0.25">
      <c r="AO216" s="87">
        <f t="shared" si="70"/>
        <v>43.200000000000074</v>
      </c>
      <c r="AP216" s="126" t="str">
        <f t="shared" si="58"/>
        <v>0.0001-0.420463256907701i</v>
      </c>
      <c r="AQ216" s="105" t="str">
        <f t="shared" si="61"/>
        <v>0.000000001-0.00000000000000001i</v>
      </c>
      <c r="AR216" s="105" t="str">
        <f t="shared" si="59"/>
        <v>0.00858412698412699+37.0834285714286i</v>
      </c>
      <c r="AS216" s="93" t="str">
        <f t="shared" si="63"/>
        <v>9999999999+9999999i</v>
      </c>
      <c r="AU216" s="87" t="str">
        <f t="shared" si="62"/>
        <v>0.00858412798412699+37.0834285714286i</v>
      </c>
      <c r="AV216" s="87" t="str">
        <f t="shared" si="64"/>
        <v>-284992968.798172+370834371518.474i</v>
      </c>
      <c r="AW216" s="87" t="str">
        <f t="shared" si="65"/>
        <v>9999999999.00858+10000036.0834286i</v>
      </c>
      <c r="AX216" s="87" t="str">
        <f t="shared" si="66"/>
        <v>0.00858426550198602+37.0834285712275i</v>
      </c>
      <c r="AY216" s="87" t="str">
        <f t="shared" si="67"/>
        <v>0.00868426550198602+36.6629653143198i</v>
      </c>
      <c r="AZ216" s="87">
        <f t="shared" si="68"/>
        <v>43.200000000000074</v>
      </c>
      <c r="BA216" s="87">
        <f t="shared" si="69"/>
        <v>36.662966342829982</v>
      </c>
    </row>
    <row r="217" spans="41:53" x14ac:dyDescent="0.25">
      <c r="AO217" s="87">
        <f t="shared" si="70"/>
        <v>43.400000000000077</v>
      </c>
      <c r="AP217" s="126" t="str">
        <f t="shared" si="58"/>
        <v>0.0001-0.418525638212274i</v>
      </c>
      <c r="AQ217" s="105" t="str">
        <f t="shared" si="61"/>
        <v>0.000000001-0.00000000000000001i</v>
      </c>
      <c r="AR217" s="105" t="str">
        <f t="shared" si="59"/>
        <v>0.00858412698412699+37.2551111111112i</v>
      </c>
      <c r="AS217" s="93" t="str">
        <f t="shared" si="63"/>
        <v>9999999999+9999999i</v>
      </c>
      <c r="AU217" s="87" t="str">
        <f t="shared" si="62"/>
        <v>0.00858412798412699+37.2551111111112i</v>
      </c>
      <c r="AV217" s="87" t="str">
        <f t="shared" si="64"/>
        <v>-286709794.023315+372551196915.128i</v>
      </c>
      <c r="AW217" s="87" t="str">
        <f t="shared" si="65"/>
        <v>9999999999.00858+10000036.2551111i</v>
      </c>
      <c r="AX217" s="87" t="str">
        <f t="shared" si="66"/>
        <v>0.00858426677824724+37.2551111109084i</v>
      </c>
      <c r="AY217" s="87" t="str">
        <f t="shared" si="67"/>
        <v>0.00868426677824724+36.8365854726961i</v>
      </c>
      <c r="AZ217" s="87">
        <f t="shared" si="68"/>
        <v>43.400000000000077</v>
      </c>
      <c r="BA217" s="87">
        <f t="shared" si="69"/>
        <v>36.836586496358947</v>
      </c>
    </row>
    <row r="218" spans="41:53" x14ac:dyDescent="0.25">
      <c r="AO218" s="87">
        <f t="shared" si="70"/>
        <v>43.60000000000008</v>
      </c>
      <c r="AP218" s="126" t="str">
        <f t="shared" si="58"/>
        <v>0.0001-0.416605795835153i</v>
      </c>
      <c r="AQ218" s="105" t="str">
        <f t="shared" si="61"/>
        <v>0.000000001-0.00000000000000001i</v>
      </c>
      <c r="AR218" s="105" t="str">
        <f t="shared" si="59"/>
        <v>0.00858412698412699+37.4267936507937i</v>
      </c>
      <c r="AS218" s="93" t="str">
        <f t="shared" si="63"/>
        <v>9999999999+9999999i</v>
      </c>
      <c r="AU218" s="87" t="str">
        <f t="shared" si="62"/>
        <v>0.00858412798412699+37.4267936507937i</v>
      </c>
      <c r="AV218" s="87" t="str">
        <f t="shared" si="64"/>
        <v>-288426619.248458+374268022311.781i</v>
      </c>
      <c r="AW218" s="87" t="str">
        <f t="shared" si="65"/>
        <v>9999999999.00858+10000036.4267937i</v>
      </c>
      <c r="AX218" s="87" t="str">
        <f t="shared" si="66"/>
        <v>0.00858426806040372+37.4267936505893i</v>
      </c>
      <c r="AY218" s="87" t="str">
        <f t="shared" si="67"/>
        <v>0.00868426806040372+37.0101878547542i</v>
      </c>
      <c r="AZ218" s="87">
        <f t="shared" si="68"/>
        <v>43.60000000000008</v>
      </c>
      <c r="BA218" s="87">
        <f t="shared" si="69"/>
        <v>37.010188873615697</v>
      </c>
    </row>
    <row r="219" spans="41:53" x14ac:dyDescent="0.25">
      <c r="AO219" s="87">
        <f t="shared" si="70"/>
        <v>43.800000000000082</v>
      </c>
      <c r="AP219" s="126" t="str">
        <f t="shared" si="58"/>
        <v>0.0001-0.414703486265129i</v>
      </c>
      <c r="AQ219" s="105" t="str">
        <f t="shared" si="61"/>
        <v>0.000000001-0.00000000000000001i</v>
      </c>
      <c r="AR219" s="105" t="str">
        <f t="shared" si="59"/>
        <v>0.00858412698412699+37.5984761904763i</v>
      </c>
      <c r="AS219" s="93" t="str">
        <f t="shared" si="63"/>
        <v>9999999999+9999999i</v>
      </c>
      <c r="AU219" s="87" t="str">
        <f t="shared" si="62"/>
        <v>0.00858412798412699+37.5984761904763i</v>
      </c>
      <c r="AV219" s="87" t="str">
        <f t="shared" si="64"/>
        <v>-290143444.473601+375984847708.436i</v>
      </c>
      <c r="AW219" s="87" t="str">
        <f t="shared" si="65"/>
        <v>9999999999.00858+10000036.5984762i</v>
      </c>
      <c r="AX219" s="87" t="str">
        <f t="shared" si="66"/>
        <v>0.00858426934845498+37.5984761902704i</v>
      </c>
      <c r="AY219" s="87" t="str">
        <f t="shared" si="67"/>
        <v>0.00868426934845498+37.1837727040053i</v>
      </c>
      <c r="AZ219" s="87">
        <f t="shared" si="68"/>
        <v>43.800000000000082</v>
      </c>
      <c r="BA219" s="87">
        <f t="shared" si="69"/>
        <v>37.18377371811075</v>
      </c>
    </row>
    <row r="220" spans="41:53" x14ac:dyDescent="0.25">
      <c r="AO220" s="87">
        <f t="shared" si="70"/>
        <v>44.000000000000085</v>
      </c>
      <c r="AP220" s="126" t="str">
        <f t="shared" ref="AP220:AP250" si="71">COMPLEX(0.0001,-1*$D$20/AO220)</f>
        <v>0.0001-0.41281847041847i</v>
      </c>
      <c r="AQ220" s="105" t="str">
        <f t="shared" si="61"/>
        <v>0.000000001-0.00000000000000001i</v>
      </c>
      <c r="AR220" s="105" t="str">
        <f t="shared" ref="AR220:AR250" si="72">COMPLEX($D$23/$D$27,$D$23*AO220)</f>
        <v>0.00858412698412699+37.7701587301588i</v>
      </c>
      <c r="AS220" s="93" t="str">
        <f t="shared" si="63"/>
        <v>9999999999+9999999i</v>
      </c>
      <c r="AU220" s="87" t="str">
        <f t="shared" si="62"/>
        <v>0.00858412798412699+37.7701587301588i</v>
      </c>
      <c r="AV220" s="87" t="str">
        <f t="shared" si="64"/>
        <v>-291860269.698743+377701673105.089i</v>
      </c>
      <c r="AW220" s="87" t="str">
        <f t="shared" si="65"/>
        <v>9999999999.00858+10000036.7701587i</v>
      </c>
      <c r="AX220" s="87" t="str">
        <f t="shared" si="66"/>
        <v>0.00858427064240113+37.7701587299513i</v>
      </c>
      <c r="AY220" s="87" t="str">
        <f t="shared" si="67"/>
        <v>0.00868427064240113+37.3573402595328i</v>
      </c>
      <c r="AZ220" s="87">
        <f t="shared" si="68"/>
        <v>44.000000000000085</v>
      </c>
      <c r="BA220" s="87">
        <f t="shared" si="69"/>
        <v>37.357341268926874</v>
      </c>
    </row>
    <row r="221" spans="41:53" x14ac:dyDescent="0.25">
      <c r="AO221" s="87">
        <f t="shared" si="70"/>
        <v>44.200000000000088</v>
      </c>
      <c r="AP221" s="126" t="str">
        <f t="shared" si="71"/>
        <v>0.0001-0.410950513538748i</v>
      </c>
      <c r="AQ221" s="105" t="str">
        <f t="shared" si="61"/>
        <v>0.000000001-0.00000000000000001i</v>
      </c>
      <c r="AR221" s="105" t="str">
        <f t="shared" si="72"/>
        <v>0.00858412698412699+37.9418412698414i</v>
      </c>
      <c r="AS221" s="93" t="str">
        <f t="shared" si="63"/>
        <v>9999999999+9999999i</v>
      </c>
      <c r="AU221" s="87" t="str">
        <f t="shared" si="62"/>
        <v>0.00858412798412699+37.9418412698414i</v>
      </c>
      <c r="AV221" s="87" t="str">
        <f t="shared" si="64"/>
        <v>-293577094.923887+379418498501.743i</v>
      </c>
      <c r="AW221" s="87" t="str">
        <f t="shared" si="65"/>
        <v>9999999999.00858+10000036.9418413i</v>
      </c>
      <c r="AX221" s="87" t="str">
        <f t="shared" si="66"/>
        <v>0.00858427194224252+37.9418412696323i</v>
      </c>
      <c r="AY221" s="87" t="str">
        <f t="shared" si="67"/>
        <v>0.00868427194224252+37.5308907560935i</v>
      </c>
      <c r="AZ221" s="87">
        <f t="shared" si="68"/>
        <v>44.200000000000088</v>
      </c>
      <c r="BA221" s="87">
        <f t="shared" si="69"/>
        <v>37.530891760820225</v>
      </c>
    </row>
    <row r="222" spans="41:53" x14ac:dyDescent="0.25">
      <c r="AO222" s="87">
        <f t="shared" si="70"/>
        <v>44.400000000000091</v>
      </c>
      <c r="AP222" s="126" t="str">
        <f t="shared" si="71"/>
        <v>0.0001-0.409099385099384i</v>
      </c>
      <c r="AQ222" s="105" t="str">
        <f t="shared" si="61"/>
        <v>0.000000001-0.00000000000000001i</v>
      </c>
      <c r="AR222" s="105" t="str">
        <f t="shared" si="72"/>
        <v>0.00858412698412699+38.1135238095239i</v>
      </c>
      <c r="AS222" s="93" t="str">
        <f t="shared" si="63"/>
        <v>9999999999+9999999i</v>
      </c>
      <c r="AU222" s="87" t="str">
        <f t="shared" si="62"/>
        <v>0.00858412798412699+38.1135238095239i</v>
      </c>
      <c r="AV222" s="87" t="str">
        <f t="shared" si="64"/>
        <v>-295293920.149029+381135323898.397i</v>
      </c>
      <c r="AW222" s="87" t="str">
        <f t="shared" si="65"/>
        <v>9999999999.00858+10000037.1135238i</v>
      </c>
      <c r="AX222" s="87" t="str">
        <f t="shared" si="66"/>
        <v>0.0085842732479787+38.1135238093132i</v>
      </c>
      <c r="AY222" s="87" t="str">
        <f t="shared" si="67"/>
        <v>0.0086842732479787+37.7044244242138i</v>
      </c>
      <c r="AZ222" s="87">
        <f t="shared" si="68"/>
        <v>44.400000000000091</v>
      </c>
      <c r="BA222" s="87">
        <f t="shared" si="69"/>
        <v>37.704425424316597</v>
      </c>
    </row>
    <row r="223" spans="41:53" x14ac:dyDescent="0.25">
      <c r="AO223" s="87">
        <f t="shared" si="70"/>
        <v>44.600000000000094</v>
      </c>
      <c r="AP223" s="126" t="str">
        <f t="shared" si="71"/>
        <v>0.0001-0.407264858708804i</v>
      </c>
      <c r="AQ223" s="105" t="str">
        <f t="shared" si="61"/>
        <v>0.000000001-0.00000000000000001i</v>
      </c>
      <c r="AR223" s="105" t="str">
        <f t="shared" si="72"/>
        <v>0.00858412698412699+38.2852063492064i</v>
      </c>
      <c r="AS223" s="93" t="str">
        <f t="shared" si="63"/>
        <v>9999999999+9999999i</v>
      </c>
      <c r="AU223" s="87" t="str">
        <f t="shared" si="62"/>
        <v>0.00858412798412699+38.2852063492064i</v>
      </c>
      <c r="AV223" s="87" t="str">
        <f t="shared" si="64"/>
        <v>-297010745.374172+382852149295.05i</v>
      </c>
      <c r="AW223" s="87" t="str">
        <f t="shared" si="65"/>
        <v>9999999999.00858+10000037.2852063i</v>
      </c>
      <c r="AX223" s="87" t="str">
        <f t="shared" si="66"/>
        <v>0.00858427455960966+38.2852063489941i</v>
      </c>
      <c r="AY223" s="87" t="str">
        <f t="shared" si="67"/>
        <v>0.00868427455960966+37.8779414902853i</v>
      </c>
      <c r="AZ223" s="87">
        <f t="shared" si="68"/>
        <v>44.600000000000094</v>
      </c>
      <c r="BA223" s="87">
        <f t="shared" si="69"/>
        <v>37.877942485806976</v>
      </c>
    </row>
    <row r="224" spans="41:53" x14ac:dyDescent="0.25">
      <c r="AO224" s="87">
        <f t="shared" si="70"/>
        <v>44.800000000000097</v>
      </c>
      <c r="AP224" s="126" t="str">
        <f t="shared" si="71"/>
        <v>0.0001-0.40544671201814i</v>
      </c>
      <c r="AQ224" s="105" t="str">
        <f t="shared" si="61"/>
        <v>0.000000001-0.00000000000000001i</v>
      </c>
      <c r="AR224" s="105" t="str">
        <f t="shared" si="72"/>
        <v>0.00858412698412699+38.456888888889i</v>
      </c>
      <c r="AS224" s="93" t="str">
        <f t="shared" si="63"/>
        <v>9999999999+9999999i</v>
      </c>
      <c r="AU224" s="87" t="str">
        <f t="shared" si="62"/>
        <v>0.00858412798412699+38.456888888889i</v>
      </c>
      <c r="AV224" s="87" t="str">
        <f t="shared" si="64"/>
        <v>-298727570.599315+384568974691.704i</v>
      </c>
      <c r="AW224" s="87" t="str">
        <f t="shared" si="65"/>
        <v>9999999999.00858+10000037.4568889i</v>
      </c>
      <c r="AX224" s="87" t="str">
        <f t="shared" si="66"/>
        <v>0.00858427587713608+38.4568888886751i</v>
      </c>
      <c r="AY224" s="87" t="str">
        <f t="shared" si="67"/>
        <v>0.00868427587713608+38.051442176657i</v>
      </c>
      <c r="AZ224" s="87">
        <f t="shared" si="68"/>
        <v>44.800000000000097</v>
      </c>
      <c r="BA224" s="87">
        <f t="shared" si="69"/>
        <v>38.051443167639754</v>
      </c>
    </row>
    <row r="225" spans="41:53" x14ac:dyDescent="0.25">
      <c r="AO225" s="87">
        <f t="shared" si="70"/>
        <v>45.000000000000099</v>
      </c>
      <c r="AP225" s="126" t="str">
        <f t="shared" si="71"/>
        <v>0.0001-0.403644726631392i</v>
      </c>
      <c r="AQ225" s="105" t="str">
        <f t="shared" si="61"/>
        <v>0.000000001-0.00000000000000001i</v>
      </c>
      <c r="AR225" s="105" t="str">
        <f t="shared" si="72"/>
        <v>0.00858412698412699+38.6285714285715i</v>
      </c>
      <c r="AS225" s="93" t="str">
        <f t="shared" si="63"/>
        <v>9999999999+9999999i</v>
      </c>
      <c r="AU225" s="87" t="str">
        <f t="shared" si="62"/>
        <v>0.00858412798412699+38.6285714285715i</v>
      </c>
      <c r="AV225" s="87" t="str">
        <f t="shared" si="64"/>
        <v>-300444395.824458+386285800088.358i</v>
      </c>
      <c r="AW225" s="87" t="str">
        <f t="shared" si="65"/>
        <v>9999999999.00858+10000037.6285714i</v>
      </c>
      <c r="AX225" s="87" t="str">
        <f t="shared" si="66"/>
        <v>0.00858427720055708+38.628571428356i</v>
      </c>
      <c r="AY225" s="87" t="str">
        <f t="shared" si="67"/>
        <v>0.00868427720055708+38.2249267017246i</v>
      </c>
      <c r="AZ225" s="87">
        <f t="shared" si="68"/>
        <v>45.000000000000099</v>
      </c>
      <c r="BA225" s="87">
        <f t="shared" si="69"/>
        <v>38.224927688210073</v>
      </c>
    </row>
    <row r="226" spans="41:53" x14ac:dyDescent="0.25">
      <c r="AO226" s="87">
        <f t="shared" si="70"/>
        <v>45.200000000000102</v>
      </c>
      <c r="AP226" s="126" t="str">
        <f t="shared" si="71"/>
        <v>0.0001-0.401858688017979i</v>
      </c>
      <c r="AQ226" s="105" t="str">
        <f t="shared" si="61"/>
        <v>0.000000001-0.00000000000000001i</v>
      </c>
      <c r="AR226" s="105" t="str">
        <f t="shared" si="72"/>
        <v>0.00858412698412699+38.8002539682541i</v>
      </c>
      <c r="AS226" s="93" t="str">
        <f t="shared" si="63"/>
        <v>9999999999+9999999i</v>
      </c>
      <c r="AU226" s="87" t="str">
        <f t="shared" si="62"/>
        <v>0.00858412798412699+38.8002539682541i</v>
      </c>
      <c r="AV226" s="87" t="str">
        <f t="shared" si="64"/>
        <v>-302161221.049601+388002625485.012i</v>
      </c>
      <c r="AW226" s="87" t="str">
        <f t="shared" si="65"/>
        <v>9999999999.00858+10000037.800254i</v>
      </c>
      <c r="AX226" s="87" t="str">
        <f t="shared" si="66"/>
        <v>0.00858427852987345+38.800253968037i</v>
      </c>
      <c r="AY226" s="87" t="str">
        <f t="shared" si="67"/>
        <v>0.00868427852987345+38.398395280019i</v>
      </c>
      <c r="AZ226" s="87">
        <f t="shared" si="68"/>
        <v>45.200000000000102</v>
      </c>
      <c r="BA226" s="87">
        <f t="shared" si="69"/>
        <v>38.39839626204823</v>
      </c>
    </row>
    <row r="227" spans="41:53" x14ac:dyDescent="0.25">
      <c r="AO227" s="87">
        <f t="shared" si="70"/>
        <v>45.400000000000105</v>
      </c>
      <c r="AP227" s="126" t="str">
        <f t="shared" si="71"/>
        <v>0.0001-0.400088385427592i</v>
      </c>
      <c r="AQ227" s="105" t="str">
        <f t="shared" si="61"/>
        <v>0.000000001-0.00000000000000001i</v>
      </c>
      <c r="AR227" s="105" t="str">
        <f t="shared" si="72"/>
        <v>0.00858412698412699+38.9719365079366i</v>
      </c>
      <c r="AS227" s="93" t="str">
        <f t="shared" si="63"/>
        <v>9999999999+9999999i</v>
      </c>
      <c r="AU227" s="87" t="str">
        <f t="shared" si="62"/>
        <v>0.00858412798412699+38.9719365079366i</v>
      </c>
      <c r="AV227" s="87" t="str">
        <f t="shared" si="64"/>
        <v>-303878046.274744+389719450881.665i</v>
      </c>
      <c r="AW227" s="87" t="str">
        <f t="shared" si="65"/>
        <v>9999999999.00858+10000037.9719365i</v>
      </c>
      <c r="AX227" s="87" t="str">
        <f t="shared" si="66"/>
        <v>0.0085842798650843+38.9719365077178i</v>
      </c>
      <c r="AY227" s="87" t="str">
        <f t="shared" si="67"/>
        <v>0.0086842798650843+38.5718481222902i</v>
      </c>
      <c r="AZ227" s="87">
        <f t="shared" si="68"/>
        <v>45.400000000000105</v>
      </c>
      <c r="BA227" s="87">
        <f t="shared" si="69"/>
        <v>38.571849099903659</v>
      </c>
    </row>
    <row r="228" spans="41:53" x14ac:dyDescent="0.25">
      <c r="AO228" s="87">
        <f t="shared" si="70"/>
        <v>45.600000000000108</v>
      </c>
      <c r="AP228" s="126" t="str">
        <f t="shared" si="71"/>
        <v>0.0001-0.398333611807295i</v>
      </c>
      <c r="AQ228" s="105" t="str">
        <f t="shared" si="61"/>
        <v>0.000000001-0.00000000000000001i</v>
      </c>
      <c r="AR228" s="105" t="str">
        <f t="shared" si="72"/>
        <v>0.00858412698412699+39.1436190476192i</v>
      </c>
      <c r="AS228" s="93" t="str">
        <f t="shared" si="63"/>
        <v>9999999999+9999999i</v>
      </c>
      <c r="AU228" s="87" t="str">
        <f t="shared" si="62"/>
        <v>0.00858412798412699+39.1436190476192i</v>
      </c>
      <c r="AV228" s="87" t="str">
        <f t="shared" si="64"/>
        <v>-305594871.499887+391436276278.32i</v>
      </c>
      <c r="AW228" s="87" t="str">
        <f t="shared" si="65"/>
        <v>9999999999.00858+10000038.143619i</v>
      </c>
      <c r="AX228" s="87" t="str">
        <f t="shared" si="66"/>
        <v>0.00858428120619032+39.1436190473988i</v>
      </c>
      <c r="AY228" s="87" t="str">
        <f t="shared" si="67"/>
        <v>0.00868428120619032+38.7452854355915i</v>
      </c>
      <c r="AZ228" s="87">
        <f t="shared" si="68"/>
        <v>45.600000000000108</v>
      </c>
      <c r="BA228" s="87">
        <f t="shared" si="69"/>
        <v>38.745286408829124</v>
      </c>
    </row>
    <row r="229" spans="41:53" x14ac:dyDescent="0.25">
      <c r="AO229" s="87">
        <f t="shared" si="70"/>
        <v>45.800000000000111</v>
      </c>
      <c r="AP229" s="126" t="str">
        <f t="shared" si="71"/>
        <v>0.0001-0.3965941637208i</v>
      </c>
      <c r="AQ229" s="105" t="str">
        <f t="shared" si="61"/>
        <v>0.000000001-0.00000000000000001i</v>
      </c>
      <c r="AR229" s="105" t="str">
        <f t="shared" si="72"/>
        <v>0.00858412698412699+39.3153015873017i</v>
      </c>
      <c r="AS229" s="93" t="str">
        <f t="shared" si="63"/>
        <v>9999999999+9999999i</v>
      </c>
      <c r="AU229" s="87" t="str">
        <f t="shared" si="62"/>
        <v>0.00858412798412699+39.3153015873017i</v>
      </c>
      <c r="AV229" s="87" t="str">
        <f t="shared" si="64"/>
        <v>-307311696.72503+393153101674.973i</v>
      </c>
      <c r="AW229" s="87" t="str">
        <f t="shared" si="65"/>
        <v>9999999999.00858+10000038.3153016i</v>
      </c>
      <c r="AX229" s="87" t="str">
        <f t="shared" si="66"/>
        <v>0.0085842825531915+39.3153015870797i</v>
      </c>
      <c r="AY229" s="87" t="str">
        <f t="shared" si="67"/>
        <v>0.0086842825531915+38.9187074233589i</v>
      </c>
      <c r="AZ229" s="87">
        <f t="shared" si="68"/>
        <v>45.800000000000111</v>
      </c>
      <c r="BA229" s="87">
        <f t="shared" si="69"/>
        <v>38.918708392260079</v>
      </c>
    </row>
    <row r="230" spans="41:53" x14ac:dyDescent="0.25">
      <c r="AO230" s="87">
        <f t="shared" si="70"/>
        <v>46.000000000000114</v>
      </c>
      <c r="AP230" s="126" t="str">
        <f t="shared" si="71"/>
        <v>0.0001-0.39486984126984i</v>
      </c>
      <c r="AQ230" s="105" t="str">
        <f t="shared" si="61"/>
        <v>0.000000001-0.00000000000000001i</v>
      </c>
      <c r="AR230" s="105" t="str">
        <f t="shared" si="72"/>
        <v>0.00858412698412699+39.4869841269842i</v>
      </c>
      <c r="AS230" s="93" t="str">
        <f t="shared" si="63"/>
        <v>9999999999+9999999i</v>
      </c>
      <c r="AU230" s="87" t="str">
        <f t="shared" si="62"/>
        <v>0.00858412798412699+39.4869841269842i</v>
      </c>
      <c r="AV230" s="87" t="str">
        <f t="shared" si="64"/>
        <v>-309028521.950172+394869927071.626i</v>
      </c>
      <c r="AW230" s="87" t="str">
        <f t="shared" si="65"/>
        <v>9999999999.00858+10000038.4869841i</v>
      </c>
      <c r="AX230" s="87" t="str">
        <f t="shared" si="66"/>
        <v>0.00858428390608736+39.4869841267605i</v>
      </c>
      <c r="AY230" s="87" t="str">
        <f t="shared" si="67"/>
        <v>0.00868428390608736+39.0921142854907i</v>
      </c>
      <c r="AZ230" s="87">
        <f t="shared" si="68"/>
        <v>46.000000000000114</v>
      </c>
      <c r="BA230" s="87">
        <f t="shared" si="69"/>
        <v>39.092115250094274</v>
      </c>
    </row>
    <row r="231" spans="41:53" x14ac:dyDescent="0.25">
      <c r="AO231" s="87">
        <f t="shared" si="70"/>
        <v>46.200000000000117</v>
      </c>
      <c r="AP231" s="126" t="str">
        <f t="shared" si="71"/>
        <v>0.0001-0.39316044801759i</v>
      </c>
      <c r="AQ231" s="105" t="str">
        <f t="shared" si="61"/>
        <v>0.000000001-0.00000000000000001i</v>
      </c>
      <c r="AR231" s="105" t="str">
        <f t="shared" si="72"/>
        <v>0.00858412698412699+39.6586666666668i</v>
      </c>
      <c r="AS231" s="93" t="str">
        <f t="shared" si="63"/>
        <v>9999999999+9999999i</v>
      </c>
      <c r="AU231" s="87" t="str">
        <f t="shared" si="62"/>
        <v>0.00858412798412699+39.6586666666668i</v>
      </c>
      <c r="AV231" s="87" t="str">
        <f t="shared" si="64"/>
        <v>-310745347.175316+396586752468.281i</v>
      </c>
      <c r="AW231" s="87" t="str">
        <f t="shared" si="65"/>
        <v>9999999999.00858+10000038.6586667i</v>
      </c>
      <c r="AX231" s="87" t="str">
        <f t="shared" si="66"/>
        <v>0.0085842852648786+39.6586666664415i</v>
      </c>
      <c r="AY231" s="87" t="str">
        <f t="shared" si="67"/>
        <v>0.0086842852648786+39.2655062184239i</v>
      </c>
      <c r="AZ231" s="87">
        <f t="shared" si="68"/>
        <v>46.200000000000117</v>
      </c>
      <c r="BA231" s="87">
        <f t="shared" si="69"/>
        <v>39.265507178768196</v>
      </c>
    </row>
    <row r="232" spans="41:53" x14ac:dyDescent="0.25">
      <c r="AO232" s="87">
        <f t="shared" si="70"/>
        <v>46.400000000000119</v>
      </c>
      <c r="AP232" s="126" t="str">
        <f t="shared" si="71"/>
        <v>0.0001-0.391465790914066i</v>
      </c>
      <c r="AQ232" s="105" t="str">
        <f t="shared" si="61"/>
        <v>0.000000001-0.00000000000000001i</v>
      </c>
      <c r="AR232" s="105" t="str">
        <f t="shared" si="72"/>
        <v>0.00858412698412699+39.8303492063493i</v>
      </c>
      <c r="AS232" s="93" t="str">
        <f t="shared" si="63"/>
        <v>9999999999+9999999i</v>
      </c>
      <c r="AU232" s="87" t="str">
        <f t="shared" si="62"/>
        <v>0.00858412798412699+39.8303492063493i</v>
      </c>
      <c r="AV232" s="87" t="str">
        <f t="shared" si="64"/>
        <v>-312462172.400458+398303577864.934i</v>
      </c>
      <c r="AW232" s="87" t="str">
        <f t="shared" si="65"/>
        <v>9999999999.00858+10000038.8303492i</v>
      </c>
      <c r="AX232" s="87" t="str">
        <f t="shared" si="66"/>
        <v>0.00858428662956441+39.8303492061223i</v>
      </c>
      <c r="AY232" s="87" t="str">
        <f t="shared" si="67"/>
        <v>0.00868428662956441+39.4388834152082i</v>
      </c>
      <c r="AZ232" s="87">
        <f t="shared" si="68"/>
        <v>46.400000000000119</v>
      </c>
      <c r="BA232" s="87">
        <f t="shared" si="69"/>
        <v>39.438884371331028</v>
      </c>
    </row>
    <row r="233" spans="41:53" x14ac:dyDescent="0.25">
      <c r="AO233" s="87">
        <f t="shared" si="70"/>
        <v>46.600000000000122</v>
      </c>
      <c r="AP233" s="126" t="str">
        <f t="shared" si="71"/>
        <v>0.0001-0.389785680223448i</v>
      </c>
      <c r="AQ233" s="105" t="str">
        <f t="shared" si="61"/>
        <v>0.000000001-0.00000000000000001i</v>
      </c>
      <c r="AR233" s="105" t="str">
        <f t="shared" si="72"/>
        <v>0.00858412698412699+40.0020317460319i</v>
      </c>
      <c r="AS233" s="93" t="str">
        <f t="shared" si="63"/>
        <v>9999999999+9999999i</v>
      </c>
      <c r="AU233" s="87" t="str">
        <f t="shared" si="62"/>
        <v>0.00858412798412699+40.0020317460319i</v>
      </c>
      <c r="AV233" s="87" t="str">
        <f t="shared" si="64"/>
        <v>-314178997.625602+400020403261.588i</v>
      </c>
      <c r="AW233" s="87" t="str">
        <f t="shared" si="65"/>
        <v>9999999999.00858+10000039.0020317i</v>
      </c>
      <c r="AX233" s="87" t="str">
        <f t="shared" si="66"/>
        <v>0.00858428800014509+40.0020317458032i</v>
      </c>
      <c r="AY233" s="87" t="str">
        <f t="shared" si="67"/>
        <v>0.00868428800014509+39.6122460655798i</v>
      </c>
      <c r="AZ233" s="87">
        <f t="shared" si="68"/>
        <v>46.600000000000122</v>
      </c>
      <c r="BA233" s="87">
        <f t="shared" si="69"/>
        <v>39.612247017518456</v>
      </c>
    </row>
    <row r="234" spans="41:53" x14ac:dyDescent="0.25">
      <c r="AO234" s="87">
        <f t="shared" si="70"/>
        <v>46.800000000000125</v>
      </c>
      <c r="AP234" s="126" t="str">
        <f t="shared" si="71"/>
        <v>0.0001-0.388119929453262i</v>
      </c>
      <c r="AQ234" s="105" t="str">
        <f t="shared" si="61"/>
        <v>0.000000001-0.00000000000000001i</v>
      </c>
      <c r="AR234" s="105" t="str">
        <f t="shared" si="72"/>
        <v>0.00858412698412699+40.1737142857144i</v>
      </c>
      <c r="AS234" s="93" t="str">
        <f t="shared" si="63"/>
        <v>9999999999+9999999i</v>
      </c>
      <c r="AU234" s="87" t="str">
        <f t="shared" si="62"/>
        <v>0.00858412798412699+40.1737142857144i</v>
      </c>
      <c r="AV234" s="87" t="str">
        <f t="shared" si="64"/>
        <v>-315895822.850744+401737228658.242i</v>
      </c>
      <c r="AW234" s="87" t="str">
        <f t="shared" si="65"/>
        <v>9999999999.00858+10000039.1737143i</v>
      </c>
      <c r="AX234" s="87" t="str">
        <f t="shared" si="66"/>
        <v>0.00858428937662135+40.1737142854841i</v>
      </c>
      <c r="AY234" s="87" t="str">
        <f t="shared" si="67"/>
        <v>0.00868428937662135+39.7855943560308i</v>
      </c>
      <c r="AZ234" s="87">
        <f t="shared" si="68"/>
        <v>46.800000000000125</v>
      </c>
      <c r="BA234" s="87">
        <f t="shared" si="69"/>
        <v>39.785595303822106</v>
      </c>
    </row>
    <row r="235" spans="41:53" x14ac:dyDescent="0.25">
      <c r="AO235" s="87">
        <f t="shared" si="70"/>
        <v>47.000000000000128</v>
      </c>
      <c r="AP235" s="126" t="str">
        <f t="shared" si="71"/>
        <v>0.0001-0.386468355285376i</v>
      </c>
      <c r="AQ235" s="105" t="str">
        <f t="shared" si="61"/>
        <v>0.000000001-0.00000000000000001i</v>
      </c>
      <c r="AR235" s="105" t="str">
        <f t="shared" si="72"/>
        <v>0.00858412698412699+40.345396825397i</v>
      </c>
      <c r="AS235" s="93" t="str">
        <f t="shared" si="63"/>
        <v>9999999999+9999999i</v>
      </c>
      <c r="AU235" s="87" t="str">
        <f t="shared" si="62"/>
        <v>0.00858412798412699+40.345396825397i</v>
      </c>
      <c r="AV235" s="87" t="str">
        <f t="shared" si="64"/>
        <v>-317612648.075887+403454054054.896i</v>
      </c>
      <c r="AW235" s="87" t="str">
        <f t="shared" si="65"/>
        <v>9999999999.00858+10000039.3453968i</v>
      </c>
      <c r="AX235" s="87" t="str">
        <f t="shared" si="66"/>
        <v>0.00858429075899207+40.345396825165i</v>
      </c>
      <c r="AY235" s="87" t="str">
        <f t="shared" si="67"/>
        <v>0.00868429075899207+39.9589284698796i</v>
      </c>
      <c r="AZ235" s="87">
        <f t="shared" si="68"/>
        <v>47.000000000000128</v>
      </c>
      <c r="BA235" s="87">
        <f t="shared" si="69"/>
        <v>39.958929413559879</v>
      </c>
    </row>
    <row r="236" spans="41:53" x14ac:dyDescent="0.25">
      <c r="AO236" s="87">
        <f t="shared" si="70"/>
        <v>47.200000000000131</v>
      </c>
      <c r="AP236" s="126" t="str">
        <f t="shared" si="71"/>
        <v>0.0001-0.384830777508743i</v>
      </c>
      <c r="AQ236" s="105" t="str">
        <f t="shared" si="61"/>
        <v>0.000000001-0.00000000000000001i</v>
      </c>
      <c r="AR236" s="105" t="str">
        <f t="shared" si="72"/>
        <v>0.00858412698412699+40.5170793650795i</v>
      </c>
      <c r="AS236" s="93" t="str">
        <f t="shared" si="63"/>
        <v>9999999999+9999999i</v>
      </c>
      <c r="AU236" s="87" t="str">
        <f t="shared" si="62"/>
        <v>0.00858412798412699+40.5170793650795i</v>
      </c>
      <c r="AV236" s="87" t="str">
        <f t="shared" si="64"/>
        <v>-319329473.30103+405170879451.549i</v>
      </c>
      <c r="AW236" s="87" t="str">
        <f t="shared" si="65"/>
        <v>9999999999.00858+10000039.5170794i</v>
      </c>
      <c r="AX236" s="87" t="str">
        <f t="shared" si="66"/>
        <v>0.00858429214725808+40.5170793648458i</v>
      </c>
      <c r="AY236" s="87" t="str">
        <f t="shared" si="67"/>
        <v>0.00868429214725808+40.1322485873371i</v>
      </c>
      <c r="AZ236" s="87">
        <f t="shared" si="68"/>
        <v>47.200000000000131</v>
      </c>
      <c r="BA236" s="87">
        <f t="shared" si="69"/>
        <v>40.132249526942182</v>
      </c>
    </row>
    <row r="237" spans="41:53" x14ac:dyDescent="0.25">
      <c r="AO237" s="87">
        <f t="shared" si="70"/>
        <v>47.400000000000134</v>
      </c>
      <c r="AP237" s="126" t="str">
        <f t="shared" si="71"/>
        <v>0.0001-0.383207018953853i</v>
      </c>
      <c r="AQ237" s="105" t="str">
        <f t="shared" si="61"/>
        <v>0.000000001-0.00000000000000001i</v>
      </c>
      <c r="AR237" s="105" t="str">
        <f t="shared" si="72"/>
        <v>0.00858412698412699+40.688761904762i</v>
      </c>
      <c r="AS237" s="93" t="str">
        <f t="shared" si="63"/>
        <v>9999999999+9999999i</v>
      </c>
      <c r="AU237" s="87" t="str">
        <f t="shared" si="62"/>
        <v>0.00858412798412699+40.688761904762i</v>
      </c>
      <c r="AV237" s="87" t="str">
        <f t="shared" si="64"/>
        <v>-321046298.526172+406887704848.203i</v>
      </c>
      <c r="AW237" s="87" t="str">
        <f t="shared" si="65"/>
        <v>9999999999.00858+10000039.6887619i</v>
      </c>
      <c r="AX237" s="87" t="str">
        <f t="shared" si="66"/>
        <v>0.00858429354141885+40.6887619045267i</v>
      </c>
      <c r="AY237" s="87" t="str">
        <f t="shared" si="67"/>
        <v>0.00868429354141885+40.3055548855728i</v>
      </c>
      <c r="AZ237" s="87">
        <f t="shared" si="68"/>
        <v>47.400000000000134</v>
      </c>
      <c r="BA237" s="87">
        <f t="shared" si="69"/>
        <v>40.30555582113805</v>
      </c>
    </row>
    <row r="238" spans="41:53" x14ac:dyDescent="0.25">
      <c r="AO238" s="87">
        <f t="shared" si="70"/>
        <v>47.600000000000136</v>
      </c>
      <c r="AP238" s="126" t="str">
        <f t="shared" si="71"/>
        <v>0.0001-0.381596905428837i</v>
      </c>
      <c r="AQ238" s="105" t="str">
        <f t="shared" si="61"/>
        <v>0.000000001-0.00000000000000001i</v>
      </c>
      <c r="AR238" s="105" t="str">
        <f t="shared" si="72"/>
        <v>0.00858412698412699+40.8604444444446i</v>
      </c>
      <c r="AS238" s="93" t="str">
        <f t="shared" si="63"/>
        <v>9999999999+9999999i</v>
      </c>
      <c r="AU238" s="87" t="str">
        <f t="shared" si="62"/>
        <v>0.00858412798412699+40.8604444444446i</v>
      </c>
      <c r="AV238" s="87" t="str">
        <f t="shared" si="64"/>
        <v>-322763123.751316+408604530244.857i</v>
      </c>
      <c r="AW238" s="87" t="str">
        <f t="shared" si="65"/>
        <v>9999999999.00858+10000039.8604444i</v>
      </c>
      <c r="AX238" s="87" t="str">
        <f t="shared" si="66"/>
        <v>0.00858429494147439+40.8604444442075i</v>
      </c>
      <c r="AY238" s="87" t="str">
        <f t="shared" si="67"/>
        <v>0.00868429494147439+40.4788475387787i</v>
      </c>
      <c r="AZ238" s="87">
        <f t="shared" si="68"/>
        <v>47.600000000000136</v>
      </c>
      <c r="BA238" s="87">
        <f t="shared" si="69"/>
        <v>40.478848470339038</v>
      </c>
    </row>
    <row r="239" spans="41:53" x14ac:dyDescent="0.25">
      <c r="AO239" s="87">
        <f t="shared" si="70"/>
        <v>47.800000000000139</v>
      </c>
      <c r="AP239" s="126" t="str">
        <f t="shared" si="71"/>
        <v>0.0001-0.380000265657168i</v>
      </c>
      <c r="AQ239" s="105" t="str">
        <f t="shared" si="61"/>
        <v>0.000000001-0.00000000000000001i</v>
      </c>
      <c r="AR239" s="105" t="str">
        <f t="shared" si="72"/>
        <v>0.00858412698412699+41.0321269841271i</v>
      </c>
      <c r="AS239" s="93" t="str">
        <f t="shared" si="63"/>
        <v>9999999999+9999999i</v>
      </c>
      <c r="AU239" s="87" t="str">
        <f t="shared" si="62"/>
        <v>0.00858412798412699+41.0321269841271i</v>
      </c>
      <c r="AV239" s="87" t="str">
        <f t="shared" si="64"/>
        <v>-324479948.976458+410321355641.51i</v>
      </c>
      <c r="AW239" s="87" t="str">
        <f t="shared" si="65"/>
        <v>9999999999.00858+10000040.032127i</v>
      </c>
      <c r="AX239" s="87" t="str">
        <f t="shared" si="66"/>
        <v>0.00858429634742541+41.0321269838883i</v>
      </c>
      <c r="AY239" s="87" t="str">
        <f t="shared" si="67"/>
        <v>0.00868429634742541+40.6521267182311i</v>
      </c>
      <c r="AZ239" s="87">
        <f t="shared" si="68"/>
        <v>47.800000000000139</v>
      </c>
      <c r="BA239" s="87">
        <f t="shared" si="69"/>
        <v>40.652127645820975</v>
      </c>
    </row>
    <row r="240" spans="41:53" x14ac:dyDescent="0.25">
      <c r="AO240" s="87">
        <f t="shared" si="70"/>
        <v>48.000000000000142</v>
      </c>
      <c r="AP240" s="126" t="str">
        <f t="shared" si="71"/>
        <v>0.0001-0.37841693121693i</v>
      </c>
      <c r="AQ240" s="105" t="str">
        <f t="shared" si="61"/>
        <v>0.000000001-0.00000000000000001i</v>
      </c>
      <c r="AR240" s="105" t="str">
        <f t="shared" si="72"/>
        <v>0.00858412698412699+41.2038095238097i</v>
      </c>
      <c r="AS240" s="93" t="str">
        <f t="shared" si="63"/>
        <v>9999999999+9999999i</v>
      </c>
      <c r="AU240" s="87" t="str">
        <f t="shared" si="62"/>
        <v>0.00858412798412699+41.2038095238097i</v>
      </c>
      <c r="AV240" s="87" t="str">
        <f t="shared" si="64"/>
        <v>-326196774.201602+412038181038.164i</v>
      </c>
      <c r="AW240" s="87" t="str">
        <f t="shared" si="65"/>
        <v>9999999999.00858+10000040.2038095i</v>
      </c>
      <c r="AX240" s="87" t="str">
        <f t="shared" si="66"/>
        <v>0.0085842977592709+41.2038095235692i</v>
      </c>
      <c r="AY240" s="87" t="str">
        <f t="shared" si="67"/>
        <v>0.0086842977592709+40.8253925923523i</v>
      </c>
      <c r="AZ240" s="87">
        <f t="shared" si="68"/>
        <v>48.000000000000142</v>
      </c>
      <c r="BA240" s="87">
        <f t="shared" si="69"/>
        <v>40.825393516005718</v>
      </c>
    </row>
    <row r="241" spans="41:53" x14ac:dyDescent="0.25">
      <c r="AO241" s="87">
        <f t="shared" si="70"/>
        <v>48.200000000000145</v>
      </c>
      <c r="AP241" s="126" t="str">
        <f t="shared" si="71"/>
        <v>0.0001-0.37684673648159i</v>
      </c>
      <c r="AQ241" s="105" t="str">
        <f t="shared" si="61"/>
        <v>0.000000001-0.00000000000000001i</v>
      </c>
      <c r="AR241" s="105" t="str">
        <f t="shared" si="72"/>
        <v>0.00858412698412699+41.3754920634922i</v>
      </c>
      <c r="AS241" s="93" t="str">
        <f t="shared" si="63"/>
        <v>9999999999+9999999i</v>
      </c>
      <c r="AU241" s="87" t="str">
        <f t="shared" si="62"/>
        <v>0.00858412798412699+41.3754920634922i</v>
      </c>
      <c r="AV241" s="87" t="str">
        <f t="shared" si="64"/>
        <v>-327913599.426744+413755006434.818i</v>
      </c>
      <c r="AW241" s="87" t="str">
        <f t="shared" si="65"/>
        <v>9999999999.00858+10000040.3754921i</v>
      </c>
      <c r="AX241" s="87" t="str">
        <f t="shared" si="66"/>
        <v>0.00858429917701197+41.37549206325i</v>
      </c>
      <c r="AY241" s="87" t="str">
        <f t="shared" si="67"/>
        <v>0.00868429917701197+40.9986453267684i</v>
      </c>
      <c r="AZ241" s="87">
        <f t="shared" si="68"/>
        <v>48.200000000000145</v>
      </c>
      <c r="BA241" s="87">
        <f t="shared" si="69"/>
        <v>40.998646246518923</v>
      </c>
    </row>
    <row r="242" spans="41:53" x14ac:dyDescent="0.25">
      <c r="AO242" s="87">
        <f t="shared" si="70"/>
        <v>48.400000000000148</v>
      </c>
      <c r="AP242" s="126" t="str">
        <f t="shared" si="71"/>
        <v>0.0001-0.375289518562245i</v>
      </c>
      <c r="AQ242" s="105" t="str">
        <f t="shared" si="61"/>
        <v>0.000000001-0.00000000000000001i</v>
      </c>
      <c r="AR242" s="105" t="str">
        <f t="shared" si="72"/>
        <v>0.00858412698412699+41.5471746031747i</v>
      </c>
      <c r="AS242" s="93" t="str">
        <f t="shared" si="63"/>
        <v>9999999999+9999999i</v>
      </c>
      <c r="AU242" s="87" t="str">
        <f t="shared" si="62"/>
        <v>0.00858412798412699+41.5471746031747i</v>
      </c>
      <c r="AV242" s="87" t="str">
        <f t="shared" si="64"/>
        <v>-329630424.651887+415471831831.471i</v>
      </c>
      <c r="AW242" s="87" t="str">
        <f t="shared" si="65"/>
        <v>9999999999.00858+10000040.5471746i</v>
      </c>
      <c r="AX242" s="87" t="str">
        <f t="shared" si="66"/>
        <v>0.00858430060064741+41.5471746029308i</v>
      </c>
      <c r="AY242" s="87" t="str">
        <f t="shared" si="67"/>
        <v>0.00868430060064741+41.1718850843686i</v>
      </c>
      <c r="AZ242" s="87">
        <f t="shared" si="68"/>
        <v>48.400000000000148</v>
      </c>
      <c r="BA242" s="87">
        <f t="shared" si="69"/>
        <v>41.171886000249373</v>
      </c>
    </row>
    <row r="243" spans="41:53" x14ac:dyDescent="0.25">
      <c r="AO243" s="87">
        <f t="shared" si="70"/>
        <v>48.600000000000151</v>
      </c>
      <c r="AP243" s="126" t="str">
        <f t="shared" si="71"/>
        <v>0.0001-0.373745117251289i</v>
      </c>
      <c r="AQ243" s="105" t="str">
        <f t="shared" si="61"/>
        <v>0.000000001-0.00000000000000001i</v>
      </c>
      <c r="AR243" s="105" t="str">
        <f t="shared" si="72"/>
        <v>0.00858412698412699+41.7188571428573i</v>
      </c>
      <c r="AS243" s="93" t="str">
        <f t="shared" si="63"/>
        <v>9999999999+9999999i</v>
      </c>
      <c r="AU243" s="87" t="str">
        <f t="shared" si="62"/>
        <v>0.00858412798412699+41.7188571428573i</v>
      </c>
      <c r="AV243" s="87" t="str">
        <f t="shared" si="64"/>
        <v>-331347249.87703+417188657228.125i</v>
      </c>
      <c r="AW243" s="87" t="str">
        <f t="shared" si="65"/>
        <v>9999999999.00858+10000040.7188571i</v>
      </c>
      <c r="AX243" s="87" t="str">
        <f t="shared" si="66"/>
        <v>0.00858430203017791+41.7188571426116i</v>
      </c>
      <c r="AY243" s="87" t="str">
        <f t="shared" si="67"/>
        <v>0.00868430203017791+41.3451120253603i</v>
      </c>
      <c r="AZ243" s="87">
        <f t="shared" si="68"/>
        <v>48.600000000000151</v>
      </c>
      <c r="BA243" s="87">
        <f t="shared" si="69"/>
        <v>41.345112937404032</v>
      </c>
    </row>
    <row r="244" spans="41:53" x14ac:dyDescent="0.25">
      <c r="AO244" s="87">
        <f t="shared" si="70"/>
        <v>48.800000000000153</v>
      </c>
      <c r="AP244" s="126" t="str">
        <f t="shared" si="71"/>
        <v>0.0001-0.372213374967472i</v>
      </c>
      <c r="AQ244" s="105" t="str">
        <f t="shared" si="61"/>
        <v>0.000000001-0.00000000000000001i</v>
      </c>
      <c r="AR244" s="105" t="str">
        <f t="shared" si="72"/>
        <v>0.00858412698412699+41.8905396825398i</v>
      </c>
      <c r="AS244" s="93" t="str">
        <f t="shared" si="63"/>
        <v>9999999999+9999999i</v>
      </c>
      <c r="AU244" s="87" t="str">
        <f t="shared" si="62"/>
        <v>0.00858412798412699+41.8905396825398i</v>
      </c>
      <c r="AV244" s="87" t="str">
        <f t="shared" si="64"/>
        <v>-333064075.102173+418905482624.779i</v>
      </c>
      <c r="AW244" s="87" t="str">
        <f t="shared" si="65"/>
        <v>9999999999.00858+10000040.8905397i</v>
      </c>
      <c r="AX244" s="87" t="str">
        <f t="shared" si="66"/>
        <v>0.00858430346560381+41.8905396822925i</v>
      </c>
      <c r="AY244" s="87" t="str">
        <f t="shared" si="67"/>
        <v>0.00868430346560381+41.518326307325i</v>
      </c>
      <c r="AZ244" s="87">
        <f t="shared" si="68"/>
        <v>48.800000000000153</v>
      </c>
      <c r="BA244" s="87">
        <f t="shared" si="69"/>
        <v>41.518327215563986</v>
      </c>
    </row>
    <row r="245" spans="41:53" x14ac:dyDescent="0.25">
      <c r="AO245" s="87">
        <f t="shared" si="70"/>
        <v>49.000000000000156</v>
      </c>
      <c r="AP245" s="126" t="str">
        <f t="shared" si="71"/>
        <v>0.0001-0.370694136702299i</v>
      </c>
      <c r="AQ245" s="105" t="str">
        <f t="shared" si="61"/>
        <v>0.000000001-0.00000000000000001i</v>
      </c>
      <c r="AR245" s="105" t="str">
        <f t="shared" si="72"/>
        <v>0.00858412698412699+42.0622222222224i</v>
      </c>
      <c r="AS245" s="93" t="str">
        <f t="shared" si="63"/>
        <v>9999999999+9999999i</v>
      </c>
      <c r="AU245" s="87" t="str">
        <f t="shared" si="62"/>
        <v>0.00858412798412699+42.0622222222224i</v>
      </c>
      <c r="AV245" s="87" t="str">
        <f t="shared" si="64"/>
        <v>-334780900.327316+420622308021.433i</v>
      </c>
      <c r="AW245" s="87" t="str">
        <f t="shared" si="65"/>
        <v>9999999999.00858+10000041.0622222i</v>
      </c>
      <c r="AX245" s="87" t="str">
        <f t="shared" si="66"/>
        <v>0.00858430490692426+42.0622222219733i</v>
      </c>
      <c r="AY245" s="87" t="str">
        <f t="shared" si="67"/>
        <v>0.00868430490692426+41.691528085271i</v>
      </c>
      <c r="AZ245" s="87">
        <f t="shared" si="68"/>
        <v>49.000000000000156</v>
      </c>
      <c r="BA245" s="87">
        <f t="shared" si="69"/>
        <v>41.691528989737137</v>
      </c>
    </row>
    <row r="246" spans="41:53" x14ac:dyDescent="0.25">
      <c r="AO246" s="87">
        <f t="shared" si="70"/>
        <v>49.200000000000159</v>
      </c>
      <c r="AP246" s="126" t="str">
        <f t="shared" si="71"/>
        <v>0.0001-0.369187249967737i</v>
      </c>
      <c r="AQ246" s="105" t="str">
        <f t="shared" si="61"/>
        <v>0.000000001-0.00000000000000001i</v>
      </c>
      <c r="AR246" s="105" t="str">
        <f t="shared" si="72"/>
        <v>0.00858412698412699+42.2339047619049i</v>
      </c>
      <c r="AS246" s="93" t="str">
        <f t="shared" si="63"/>
        <v>9999999999+9999999i</v>
      </c>
      <c r="AU246" s="87" t="str">
        <f t="shared" si="62"/>
        <v>0.00858412798412699+42.2339047619049i</v>
      </c>
      <c r="AV246" s="87" t="str">
        <f t="shared" si="64"/>
        <v>-336497725.552459+422339133418.086i</v>
      </c>
      <c r="AW246" s="87" t="str">
        <f t="shared" si="65"/>
        <v>9999999999.00858+10000041.2339048i</v>
      </c>
      <c r="AX246" s="87" t="str">
        <f t="shared" si="66"/>
        <v>0.00858430635414+42.233904761654i</v>
      </c>
      <c r="AY246" s="87" t="str">
        <f t="shared" si="67"/>
        <v>0.00868430635414+41.8647175116863i</v>
      </c>
      <c r="AZ246" s="87">
        <f t="shared" si="68"/>
        <v>49.200000000000159</v>
      </c>
      <c r="BA246" s="87">
        <f t="shared" si="69"/>
        <v>41.864718412411072</v>
      </c>
    </row>
    <row r="247" spans="41:53" x14ac:dyDescent="0.25">
      <c r="AO247" s="87">
        <f t="shared" si="70"/>
        <v>49.400000000000162</v>
      </c>
      <c r="AP247" s="126" t="str">
        <f t="shared" si="71"/>
        <v>0.0001-0.367692564745195i</v>
      </c>
      <c r="AQ247" s="105" t="str">
        <f t="shared" si="61"/>
        <v>0.000000001-0.00000000000000001i</v>
      </c>
      <c r="AR247" s="105" t="str">
        <f t="shared" si="72"/>
        <v>0.00858412698412699+42.4055873015875i</v>
      </c>
      <c r="AS247" s="93" t="str">
        <f t="shared" si="63"/>
        <v>9999999999+9999999i</v>
      </c>
      <c r="AU247" s="87" t="str">
        <f t="shared" si="62"/>
        <v>0.00858412798412699+42.4055873015875i</v>
      </c>
      <c r="AV247" s="87" t="str">
        <f t="shared" si="64"/>
        <v>-338214550.777602+424055958814.741i</v>
      </c>
      <c r="AW247" s="87" t="str">
        <f t="shared" si="65"/>
        <v>9999999999.00858+10000041.4055873i</v>
      </c>
      <c r="AX247" s="87" t="str">
        <f t="shared" si="66"/>
        <v>0.0085843078072505+42.4055873013349i</v>
      </c>
      <c r="AY247" s="87" t="str">
        <f t="shared" si="67"/>
        <v>0.0086843078072505+42.0378947365897i</v>
      </c>
      <c r="AZ247" s="87">
        <f t="shared" si="68"/>
        <v>49.400000000000162</v>
      </c>
      <c r="BA247" s="87">
        <f t="shared" si="69"/>
        <v>42.037895633604187</v>
      </c>
    </row>
    <row r="248" spans="41:53" x14ac:dyDescent="0.25">
      <c r="AO248" s="87">
        <f t="shared" si="70"/>
        <v>49.600000000000165</v>
      </c>
      <c r="AP248" s="126" t="str">
        <f t="shared" si="71"/>
        <v>0.0001-0.366209933435739i</v>
      </c>
      <c r="AQ248" s="105" t="str">
        <f t="shared" si="61"/>
        <v>0.000000001-0.00000000000000001i</v>
      </c>
      <c r="AR248" s="105" t="str">
        <f t="shared" si="72"/>
        <v>0.00858412698412699+42.57726984127i</v>
      </c>
      <c r="AS248" s="93" t="str">
        <f t="shared" si="63"/>
        <v>9999999999+9999999i</v>
      </c>
      <c r="AU248" s="87" t="str">
        <f t="shared" si="62"/>
        <v>0.00858412798412699+42.57726984127i</v>
      </c>
      <c r="AV248" s="87" t="str">
        <f t="shared" si="64"/>
        <v>-339931376.002744+425772784211.394i</v>
      </c>
      <c r="AW248" s="87" t="str">
        <f t="shared" si="65"/>
        <v>9999999999.00858+10000041.5772698i</v>
      </c>
      <c r="AX248" s="87" t="str">
        <f t="shared" si="66"/>
        <v>0.00858430926625586+42.5772698410156i</v>
      </c>
      <c r="AY248" s="87" t="str">
        <f t="shared" si="67"/>
        <v>0.00868430926625586+42.2110599075799i</v>
      </c>
      <c r="AZ248" s="87">
        <f t="shared" si="68"/>
        <v>49.600000000000165</v>
      </c>
      <c r="BA248" s="87">
        <f t="shared" si="69"/>
        <v>42.211060800914808</v>
      </c>
    </row>
    <row r="249" spans="41:53" x14ac:dyDescent="0.25">
      <c r="AO249" s="87">
        <f t="shared" si="70"/>
        <v>49.800000000000168</v>
      </c>
      <c r="AP249" s="126" t="str">
        <f t="shared" si="71"/>
        <v>0.0001-0.364739210811499i</v>
      </c>
      <c r="AQ249" s="105" t="str">
        <f t="shared" si="61"/>
        <v>0.000000001-0.00000000000000001i</v>
      </c>
      <c r="AR249" s="105" t="str">
        <f t="shared" si="72"/>
        <v>0.00858412698412699+42.7489523809525i</v>
      </c>
      <c r="AS249" s="93" t="str">
        <f t="shared" si="63"/>
        <v>9999999999+9999999i</v>
      </c>
      <c r="AU249" s="87" t="str">
        <f t="shared" si="62"/>
        <v>0.00858412798412699+42.7489523809525i</v>
      </c>
      <c r="AV249" s="87" t="str">
        <f t="shared" si="64"/>
        <v>-341648201.227887+427489609608.047i</v>
      </c>
      <c r="AW249" s="87" t="str">
        <f t="shared" si="65"/>
        <v>9999999999.00858+10000041.7489524i</v>
      </c>
      <c r="AX249" s="87" t="str">
        <f t="shared" si="66"/>
        <v>0.00858431073115653+42.7489523806963i</v>
      </c>
      <c r="AY249" s="87" t="str">
        <f t="shared" si="67"/>
        <v>0.00868431073115653+42.3842131698848i</v>
      </c>
      <c r="AZ249" s="87">
        <f t="shared" si="68"/>
        <v>49.800000000000168</v>
      </c>
      <c r="BA249" s="87">
        <f t="shared" si="69"/>
        <v>42.384214059570446</v>
      </c>
    </row>
    <row r="250" spans="41:53" x14ac:dyDescent="0.25">
      <c r="AO250" s="87">
        <f t="shared" si="70"/>
        <v>50.000000000000171</v>
      </c>
      <c r="AP250" s="126" t="str">
        <f t="shared" si="71"/>
        <v>0.0001-0.363280253968253i</v>
      </c>
      <c r="AQ250" s="105" t="str">
        <f t="shared" si="61"/>
        <v>0.000000001-0.00000000000000001i</v>
      </c>
      <c r="AR250" s="105" t="str">
        <f t="shared" si="72"/>
        <v>0.00858412698412699+42.9206349206351i</v>
      </c>
      <c r="AS250" s="93" t="str">
        <f t="shared" si="63"/>
        <v>9999999999+9999999i</v>
      </c>
      <c r="AU250" s="87" t="str">
        <f t="shared" si="62"/>
        <v>0.00858412798412699+42.9206349206351i</v>
      </c>
      <c r="AV250" s="87" t="str">
        <f t="shared" si="64"/>
        <v>-343365026.45303+429206435004.702i</v>
      </c>
      <c r="AW250" s="87" t="str">
        <f t="shared" si="65"/>
        <v>9999999999.00858+10000041.9206349i</v>
      </c>
      <c r="AX250" s="87" t="str">
        <f t="shared" si="66"/>
        <v>0.00858431220195194+42.9206349203773i</v>
      </c>
      <c r="AY250" s="87" t="str">
        <f t="shared" si="67"/>
        <v>0.00868431220195194+42.557354666409i</v>
      </c>
      <c r="AZ250" s="87">
        <f t="shared" si="68"/>
        <v>50.000000000000171</v>
      </c>
      <c r="BA250" s="87">
        <f t="shared" si="69"/>
        <v>42.557355552475329</v>
      </c>
    </row>
    <row r="251" spans="41:53" x14ac:dyDescent="0.25">
      <c r="AP251" s="126"/>
      <c r="AQ251" s="105"/>
      <c r="AR251" s="105"/>
      <c r="AS251" s="93"/>
    </row>
    <row r="252" spans="41:53" x14ac:dyDescent="0.25">
      <c r="AP252" s="126"/>
      <c r="AQ252" s="105"/>
      <c r="AR252" s="105"/>
      <c r="AS252" s="93"/>
    </row>
    <row r="253" spans="41:53" x14ac:dyDescent="0.25">
      <c r="AP253" s="126"/>
      <c r="AQ253" s="105"/>
      <c r="AR253" s="105"/>
      <c r="AS253" s="93"/>
    </row>
    <row r="254" spans="41:53" x14ac:dyDescent="0.25">
      <c r="AP254" s="126"/>
      <c r="AQ254" s="105"/>
      <c r="AR254" s="105"/>
      <c r="AS254" s="93"/>
    </row>
    <row r="255" spans="41:53" x14ac:dyDescent="0.25">
      <c r="AP255" s="126"/>
      <c r="AQ255" s="105"/>
      <c r="AR255" s="105"/>
      <c r="AS255" s="93"/>
    </row>
    <row r="256" spans="41:53" x14ac:dyDescent="0.25">
      <c r="AP256" s="126"/>
      <c r="AQ256" s="105"/>
      <c r="AR256" s="105"/>
      <c r="AS256" s="93"/>
    </row>
    <row r="257" spans="42:45" x14ac:dyDescent="0.25">
      <c r="AP257" s="126"/>
      <c r="AQ257" s="105"/>
      <c r="AR257" s="105"/>
      <c r="AS257" s="93"/>
    </row>
    <row r="258" spans="42:45" x14ac:dyDescent="0.25">
      <c r="AP258" s="126"/>
      <c r="AQ258" s="105"/>
      <c r="AR258" s="105"/>
      <c r="AS258" s="93"/>
    </row>
    <row r="259" spans="42:45" x14ac:dyDescent="0.25">
      <c r="AP259" s="126"/>
      <c r="AQ259" s="105"/>
      <c r="AR259" s="105"/>
      <c r="AS259" s="93"/>
    </row>
    <row r="260" spans="42:45" x14ac:dyDescent="0.25">
      <c r="AP260" s="126"/>
      <c r="AQ260" s="105"/>
      <c r="AR260" s="105"/>
      <c r="AS260" s="93"/>
    </row>
    <row r="261" spans="42:45" x14ac:dyDescent="0.25">
      <c r="AP261" s="126"/>
      <c r="AQ261" s="105"/>
      <c r="AR261" s="105"/>
      <c r="AS261" s="93"/>
    </row>
    <row r="262" spans="42:45" x14ac:dyDescent="0.25">
      <c r="AP262" s="126"/>
      <c r="AQ262" s="105"/>
      <c r="AR262" s="105"/>
      <c r="AS262" s="93"/>
    </row>
    <row r="263" spans="42:45" x14ac:dyDescent="0.25">
      <c r="AP263" s="126"/>
      <c r="AQ263" s="105"/>
      <c r="AR263" s="105"/>
      <c r="AS263" s="93"/>
    </row>
    <row r="264" spans="42:45" x14ac:dyDescent="0.25">
      <c r="AP264" s="126"/>
      <c r="AQ264" s="105"/>
      <c r="AR264" s="105"/>
      <c r="AS264" s="93"/>
    </row>
    <row r="265" spans="42:45" x14ac:dyDescent="0.25">
      <c r="AP265" s="126"/>
      <c r="AQ265" s="105"/>
      <c r="AR265" s="105"/>
      <c r="AS265" s="93"/>
    </row>
    <row r="266" spans="42:45" x14ac:dyDescent="0.25">
      <c r="AP266" s="126"/>
      <c r="AQ266" s="105"/>
      <c r="AR266" s="105"/>
      <c r="AS266" s="93"/>
    </row>
    <row r="267" spans="42:45" x14ac:dyDescent="0.25">
      <c r="AP267" s="126"/>
      <c r="AQ267" s="105"/>
      <c r="AR267" s="105"/>
      <c r="AS267" s="93"/>
    </row>
    <row r="268" spans="42:45" x14ac:dyDescent="0.25">
      <c r="AP268" s="126"/>
      <c r="AQ268" s="105"/>
      <c r="AR268" s="105"/>
      <c r="AS268" s="93"/>
    </row>
    <row r="269" spans="42:45" x14ac:dyDescent="0.25">
      <c r="AP269" s="126"/>
      <c r="AQ269" s="105"/>
      <c r="AR269" s="105"/>
      <c r="AS269" s="93"/>
    </row>
    <row r="270" spans="42:45" x14ac:dyDescent="0.25">
      <c r="AP270" s="126"/>
      <c r="AQ270" s="105"/>
      <c r="AR270" s="105"/>
      <c r="AS270" s="93"/>
    </row>
    <row r="271" spans="42:45" x14ac:dyDescent="0.25">
      <c r="AP271" s="126"/>
      <c r="AQ271" s="105"/>
      <c r="AR271" s="105"/>
      <c r="AS271" s="93"/>
    </row>
    <row r="272" spans="42:45" x14ac:dyDescent="0.25">
      <c r="AP272" s="126"/>
      <c r="AQ272" s="105"/>
      <c r="AR272" s="105"/>
      <c r="AS272" s="93"/>
    </row>
  </sheetData>
  <sheetProtection algorithmName="SHA-512" hashValue="p2IjvbbdAfeuHKlSH2NtM5ywLBu9ECUgXnufJ/XuhPLHBTVaJ8edT2DJQbelQS9djh54K4pBJTgy6LipDriH0g==" saltValue="sIdt8dRLr5/k1GZnRAtSVw==" spinCount="100000" sheet="1" objects="1" scenarios="1"/>
  <mergeCells count="17">
    <mergeCell ref="D43:I43"/>
    <mergeCell ref="J46:K46"/>
    <mergeCell ref="J47:K47"/>
    <mergeCell ref="J45:K45"/>
    <mergeCell ref="G4:L4"/>
    <mergeCell ref="B6:L6"/>
    <mergeCell ref="I8:L8"/>
    <mergeCell ref="I9:L9"/>
    <mergeCell ref="B29:L29"/>
    <mergeCell ref="D44:F44"/>
    <mergeCell ref="I44:L44"/>
    <mergeCell ref="B167:L167"/>
    <mergeCell ref="B106:D106"/>
    <mergeCell ref="B107:D107"/>
    <mergeCell ref="H88:L89"/>
    <mergeCell ref="H90:I90"/>
    <mergeCell ref="K90:L90"/>
  </mergeCells>
  <conditionalFormatting sqref="D46">
    <cfRule type="cellIs" dxfId="12" priority="13" operator="greaterThan">
      <formula>"e44"</formula>
    </cfRule>
  </conditionalFormatting>
  <conditionalFormatting sqref="D47">
    <cfRule type="cellIs" dxfId="11" priority="12" operator="greaterThan">
      <formula>"e45"</formula>
    </cfRule>
  </conditionalFormatting>
  <conditionalFormatting sqref="I46">
    <cfRule type="cellIs" dxfId="10" priority="11" operator="greaterThan">
      <formula>"i44"</formula>
    </cfRule>
  </conditionalFormatting>
  <conditionalFormatting sqref="I47">
    <cfRule type="cellIs" dxfId="9" priority="10" operator="greaterThan">
      <formula>"i45"</formula>
    </cfRule>
  </conditionalFormatting>
  <conditionalFormatting sqref="D46:E46">
    <cfRule type="cellIs" dxfId="8" priority="1" operator="greaterThan">
      <formula>$F$46</formula>
    </cfRule>
    <cfRule type="cellIs" dxfId="7" priority="5" operator="lessThan">
      <formula>"105.6%$F$46"</formula>
    </cfRule>
    <cfRule type="cellIs" dxfId="6" priority="9" operator="greaterThan">
      <formula>$F$46</formula>
    </cfRule>
  </conditionalFormatting>
  <conditionalFormatting sqref="D47:E47">
    <cfRule type="cellIs" dxfId="5" priority="4" operator="lessThan">
      <formula>$F$47</formula>
    </cfRule>
    <cfRule type="cellIs" dxfId="4" priority="8" operator="greaterThan">
      <formula>$F$47</formula>
    </cfRule>
  </conditionalFormatting>
  <conditionalFormatting sqref="I46:K46">
    <cfRule type="cellIs" dxfId="3" priority="3" operator="lessThan">
      <formula>$L$46</formula>
    </cfRule>
    <cfRule type="cellIs" dxfId="2" priority="7" operator="greaterThan">
      <formula>$L$46</formula>
    </cfRule>
  </conditionalFormatting>
  <conditionalFormatting sqref="I47:K47">
    <cfRule type="cellIs" dxfId="1" priority="2" operator="lessThan">
      <formula>$L$47</formula>
    </cfRule>
    <cfRule type="cellIs" dxfId="0" priority="6" operator="greaterThan">
      <formula>$L$47</formula>
    </cfRule>
  </conditionalFormatting>
  <dataValidations disablePrompts="1" count="1">
    <dataValidation type="list" allowBlank="1" showInputMessage="1" showErrorMessage="1" sqref="D43" xr:uid="{00000000-0002-0000-0300-000000000000}">
      <formula1>capacitordutyrating</formula1>
    </dataValidation>
  </dataValidations>
  <pageMargins left="0.7" right="0.7" top="0.205416666666667" bottom="0.45333333333333298" header="0.3" footer="0.3"/>
  <pageSetup scale="56" fitToHeight="2" orientation="portrait" r:id="rId1"/>
  <headerFooter>
    <oddHeader xml:space="preserve">&amp;L
&amp;R       </oddHeader>
  </headerFooter>
  <rowBreaks count="2" manualBreakCount="2">
    <brk id="60" min="1" max="11" man="1"/>
    <brk id="136" min="1" max="11" man="1"/>
  </rowBreaks>
  <ignoredErrors>
    <ignoredError sqref="D25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Scroll Bar 1">
              <controlPr locked="0" defaultSize="0" autoPict="0">
                <anchor moveWithCells="1">
                  <from>
                    <xdr:col>4</xdr:col>
                    <xdr:colOff>619125</xdr:colOff>
                    <xdr:row>8</xdr:row>
                    <xdr:rowOff>19050</xdr:rowOff>
                  </from>
                  <to>
                    <xdr:col>5</xdr:col>
                    <xdr:colOff>619125</xdr:colOff>
                    <xdr:row>8</xdr:row>
                    <xdr:rowOff>209550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>
    <pageSetUpPr fitToPage="1"/>
  </sheetPr>
  <dimension ref="A1:L31"/>
  <sheetViews>
    <sheetView zoomScaleNormal="100" workbookViewId="0"/>
  </sheetViews>
  <sheetFormatPr defaultRowHeight="15" x14ac:dyDescent="0.25"/>
  <cols>
    <col min="1" max="1" width="2.42578125" customWidth="1"/>
    <col min="2" max="2" width="44" customWidth="1"/>
    <col min="3" max="3" width="1.5703125" customWidth="1"/>
    <col min="4" max="4" width="16.42578125" customWidth="1"/>
    <col min="6" max="6" width="10.85546875" bestFit="1" customWidth="1"/>
    <col min="11" max="11" width="12.7109375" customWidth="1"/>
    <col min="12" max="12" width="25.42578125" customWidth="1"/>
    <col min="14" max="14" width="9.140625" customWidth="1"/>
    <col min="19" max="19" width="22.85546875" customWidth="1"/>
  </cols>
  <sheetData>
    <row r="1" spans="2:12" ht="16.5" customHeight="1" x14ac:dyDescent="0.25">
      <c r="B1" s="267" t="s">
        <v>321</v>
      </c>
    </row>
    <row r="3" spans="2:12" ht="36" x14ac:dyDescent="0.55000000000000004">
      <c r="B3" s="42" t="s">
        <v>45</v>
      </c>
      <c r="C3" s="43"/>
      <c r="D3" s="43"/>
      <c r="E3" s="43"/>
      <c r="F3" s="43"/>
      <c r="G3" s="43"/>
      <c r="H3" s="43"/>
      <c r="I3" s="43"/>
      <c r="J3" s="43"/>
      <c r="K3" s="43"/>
      <c r="L3" s="43"/>
    </row>
    <row r="4" spans="2:12" ht="26.25" x14ac:dyDescent="0.4">
      <c r="B4" s="45" t="s">
        <v>46</v>
      </c>
      <c r="C4" s="44"/>
      <c r="D4" s="44"/>
      <c r="E4" s="44"/>
      <c r="F4" s="44"/>
      <c r="G4" s="330" t="s">
        <v>47</v>
      </c>
      <c r="H4" s="330"/>
      <c r="I4" s="330"/>
      <c r="J4" s="330"/>
      <c r="K4" s="330"/>
      <c r="L4" s="330"/>
    </row>
    <row r="6" spans="2:12" ht="21" x14ac:dyDescent="0.35">
      <c r="B6" s="286" t="s">
        <v>126</v>
      </c>
      <c r="C6" s="286"/>
      <c r="D6" s="286"/>
      <c r="E6" s="286"/>
      <c r="F6" s="286"/>
      <c r="G6" s="286"/>
      <c r="H6" s="286"/>
      <c r="I6" s="286"/>
      <c r="J6" s="286"/>
      <c r="K6" s="286"/>
      <c r="L6" s="286"/>
    </row>
    <row r="8" spans="2:12" ht="18.75" x14ac:dyDescent="0.35">
      <c r="B8" s="9" t="s">
        <v>25</v>
      </c>
      <c r="D8" s="98">
        <v>34.5</v>
      </c>
      <c r="E8" t="s">
        <v>1</v>
      </c>
      <c r="I8" t="s">
        <v>0</v>
      </c>
    </row>
    <row r="9" spans="2:12" ht="18.75" x14ac:dyDescent="0.35">
      <c r="B9" s="9" t="s">
        <v>127</v>
      </c>
      <c r="D9" s="254">
        <v>12</v>
      </c>
      <c r="E9" t="s">
        <v>2</v>
      </c>
      <c r="J9" t="s">
        <v>0</v>
      </c>
    </row>
    <row r="10" spans="2:12" ht="15.75" x14ac:dyDescent="0.25">
      <c r="B10" s="9" t="s">
        <v>131</v>
      </c>
      <c r="D10" s="98">
        <v>60</v>
      </c>
      <c r="E10" t="s">
        <v>83</v>
      </c>
    </row>
    <row r="11" spans="2:12" ht="18.75" x14ac:dyDescent="0.35">
      <c r="B11" s="9" t="s">
        <v>130</v>
      </c>
      <c r="D11" s="139">
        <f>D8*D8/D9</f>
        <v>99.1875</v>
      </c>
      <c r="E11" s="143" t="s">
        <v>3</v>
      </c>
      <c r="F11" s="143"/>
      <c r="G11" s="143"/>
      <c r="H11" s="143"/>
      <c r="I11" s="143"/>
      <c r="J11" s="143"/>
      <c r="K11" s="143" t="s">
        <v>0</v>
      </c>
      <c r="L11" s="143"/>
    </row>
    <row r="12" spans="2:12" ht="15.75" x14ac:dyDescent="0.25">
      <c r="B12" s="9" t="s">
        <v>129</v>
      </c>
      <c r="D12" s="171">
        <f>1000*D11/(2*3.1415*D10)</f>
        <v>263.11077510743274</v>
      </c>
      <c r="E12" s="143" t="s">
        <v>9</v>
      </c>
      <c r="F12" s="143"/>
      <c r="G12" s="143"/>
      <c r="H12" s="143"/>
      <c r="I12" s="143"/>
      <c r="J12" s="143"/>
      <c r="K12" s="143"/>
      <c r="L12" s="143"/>
    </row>
    <row r="13" spans="2:12" ht="18.75" x14ac:dyDescent="0.35">
      <c r="B13" s="9" t="s">
        <v>128</v>
      </c>
      <c r="D13" s="142">
        <f>D9*1000/(D8*1.73)</f>
        <v>201.05554159336515</v>
      </c>
      <c r="E13" s="143" t="s">
        <v>12</v>
      </c>
      <c r="F13" s="143"/>
      <c r="G13" s="143"/>
      <c r="H13" s="143"/>
      <c r="I13" s="143"/>
      <c r="J13" s="143"/>
      <c r="K13" s="143"/>
      <c r="L13" s="143"/>
    </row>
    <row r="14" spans="2:12" x14ac:dyDescent="0.25">
      <c r="D14" s="143"/>
      <c r="E14" s="143"/>
      <c r="F14" s="143"/>
      <c r="G14" s="143"/>
      <c r="H14" s="143"/>
      <c r="I14" s="143"/>
      <c r="J14" s="143"/>
      <c r="K14" s="143"/>
      <c r="L14" s="143"/>
    </row>
    <row r="15" spans="2:12" s="87" customFormat="1" x14ac:dyDescent="0.25">
      <c r="D15" s="143"/>
      <c r="E15" s="143"/>
      <c r="F15" s="143"/>
      <c r="G15" s="143"/>
      <c r="H15" s="143"/>
      <c r="I15" s="143"/>
      <c r="J15" s="143"/>
      <c r="K15" s="143"/>
      <c r="L15" s="143"/>
    </row>
    <row r="16" spans="2:12" s="87" customFormat="1" ht="21" x14ac:dyDescent="0.35">
      <c r="B16" s="286" t="s">
        <v>300</v>
      </c>
      <c r="C16" s="286"/>
      <c r="D16" s="286"/>
      <c r="E16" s="286"/>
      <c r="F16" s="286"/>
      <c r="G16" s="286"/>
      <c r="H16" s="286"/>
      <c r="I16" s="286"/>
      <c r="J16" s="286"/>
      <c r="K16" s="286"/>
      <c r="L16" s="286"/>
    </row>
    <row r="17" spans="1:12" x14ac:dyDescent="0.25">
      <c r="D17" s="143"/>
      <c r="E17" s="143"/>
      <c r="F17" s="143"/>
      <c r="G17" s="143"/>
      <c r="H17" s="143"/>
      <c r="I17" s="143"/>
      <c r="J17" s="143"/>
      <c r="K17" s="143"/>
      <c r="L17" s="143"/>
    </row>
    <row r="18" spans="1:12" ht="15.75" x14ac:dyDescent="0.25">
      <c r="B18" s="217" t="s">
        <v>257</v>
      </c>
      <c r="D18" s="160">
        <v>1</v>
      </c>
      <c r="E18" s="256"/>
      <c r="F18" s="143"/>
      <c r="G18" s="143"/>
      <c r="H18" s="143"/>
      <c r="I18" s="143"/>
      <c r="J18" s="143"/>
      <c r="K18" s="143"/>
      <c r="L18" s="143"/>
    </row>
    <row r="19" spans="1:12" s="87" customFormat="1" x14ac:dyDescent="0.25">
      <c r="B19" s="218" t="s">
        <v>290</v>
      </c>
      <c r="D19" s="259">
        <f>D12</f>
        <v>263.11077510743274</v>
      </c>
      <c r="E19" s="260" t="s">
        <v>9</v>
      </c>
      <c r="F19" s="143"/>
      <c r="G19" s="143"/>
      <c r="H19" s="143"/>
      <c r="I19" s="143"/>
      <c r="J19" s="143"/>
      <c r="K19" s="143"/>
      <c r="L19" s="143"/>
    </row>
    <row r="20" spans="1:12" s="87" customFormat="1" x14ac:dyDescent="0.25">
      <c r="B20" s="255" t="s">
        <v>291</v>
      </c>
      <c r="C20" s="11"/>
      <c r="D20" s="257">
        <f>D11</f>
        <v>99.1875</v>
      </c>
      <c r="E20" s="258" t="s">
        <v>3</v>
      </c>
      <c r="F20" s="143"/>
      <c r="G20" s="143"/>
      <c r="H20" s="143"/>
      <c r="I20" s="143"/>
      <c r="J20" s="143"/>
      <c r="K20" s="143"/>
      <c r="L20" s="143"/>
    </row>
    <row r="21" spans="1:12" s="87" customFormat="1" x14ac:dyDescent="0.25">
      <c r="B21" s="218" t="s">
        <v>292</v>
      </c>
      <c r="C21" s="97"/>
      <c r="D21" s="257">
        <f>D10</f>
        <v>60</v>
      </c>
      <c r="E21" s="258" t="s">
        <v>83</v>
      </c>
      <c r="F21" s="143"/>
      <c r="G21" s="143"/>
      <c r="H21" s="143"/>
      <c r="I21" s="143"/>
      <c r="J21" s="143"/>
      <c r="K21" s="143"/>
      <c r="L21" s="143"/>
    </row>
    <row r="22" spans="1:12" x14ac:dyDescent="0.25">
      <c r="B22" s="101" t="s">
        <v>288</v>
      </c>
      <c r="D22" s="146">
        <f>D13</f>
        <v>201.05554159336515</v>
      </c>
      <c r="E22" s="256" t="s">
        <v>12</v>
      </c>
      <c r="F22" s="143"/>
      <c r="G22" s="143"/>
      <c r="H22" s="143"/>
      <c r="I22" s="143"/>
      <c r="J22" s="143"/>
      <c r="K22" s="143"/>
      <c r="L22" s="143"/>
    </row>
    <row r="23" spans="1:12" ht="21" customHeight="1" x14ac:dyDescent="0.25">
      <c r="B23" s="101" t="s">
        <v>289</v>
      </c>
      <c r="D23" s="108">
        <f>D13*1.1</f>
        <v>221.16109575270167</v>
      </c>
      <c r="E23" s="260" t="s">
        <v>12</v>
      </c>
      <c r="F23" s="143"/>
      <c r="G23" s="143"/>
      <c r="H23" s="143"/>
      <c r="I23" s="143"/>
      <c r="J23" s="143"/>
      <c r="K23" s="143"/>
      <c r="L23" s="143"/>
    </row>
    <row r="24" spans="1:12" ht="18.75" x14ac:dyDescent="0.35">
      <c r="A24" s="11"/>
      <c r="B24" s="95" t="s">
        <v>127</v>
      </c>
      <c r="D24" s="105">
        <f>D9</f>
        <v>12</v>
      </c>
      <c r="E24" s="256" t="s">
        <v>2</v>
      </c>
      <c r="F24" s="161"/>
      <c r="G24" s="161"/>
      <c r="H24" s="161"/>
      <c r="I24" s="161"/>
      <c r="J24" s="161"/>
      <c r="K24" s="161"/>
      <c r="L24" s="161"/>
    </row>
    <row r="25" spans="1:12" s="87" customFormat="1" x14ac:dyDescent="0.25">
      <c r="A25" s="97"/>
      <c r="B25" s="101" t="s">
        <v>255</v>
      </c>
      <c r="C25"/>
      <c r="D25" s="144">
        <f>D22*D11</f>
        <v>19942.196531791906</v>
      </c>
      <c r="E25" s="256" t="s">
        <v>256</v>
      </c>
      <c r="F25" s="161"/>
      <c r="G25" s="161"/>
      <c r="H25" s="161"/>
      <c r="I25" s="161"/>
      <c r="J25" s="161"/>
      <c r="K25" s="161"/>
      <c r="L25" s="161"/>
    </row>
    <row r="26" spans="1:12" s="87" customFormat="1" x14ac:dyDescent="0.25">
      <c r="A26" s="97"/>
      <c r="B26" s="101" t="s">
        <v>228</v>
      </c>
      <c r="D26" s="90">
        <f>D8</f>
        <v>34.5</v>
      </c>
      <c r="E26" s="256" t="s">
        <v>1</v>
      </c>
      <c r="F26" s="161"/>
      <c r="G26" s="161"/>
      <c r="H26" s="161"/>
      <c r="I26" s="161"/>
      <c r="J26" s="161"/>
      <c r="K26" s="161"/>
      <c r="L26" s="161"/>
    </row>
    <row r="27" spans="1:12" s="87" customFormat="1" x14ac:dyDescent="0.25">
      <c r="A27" s="97"/>
      <c r="B27" s="101" t="s">
        <v>293</v>
      </c>
      <c r="D27" s="93">
        <f>1.1*D26</f>
        <v>37.950000000000003</v>
      </c>
      <c r="E27" s="256" t="s">
        <v>1</v>
      </c>
      <c r="F27" s="161"/>
      <c r="G27" s="161"/>
      <c r="H27" s="161"/>
      <c r="I27" s="161"/>
      <c r="J27" s="161"/>
      <c r="K27" s="161"/>
      <c r="L27" s="161"/>
    </row>
    <row r="28" spans="1:12" s="87" customFormat="1" x14ac:dyDescent="0.25">
      <c r="A28" s="97"/>
      <c r="B28" s="101" t="s">
        <v>299</v>
      </c>
      <c r="D28" s="148">
        <v>150</v>
      </c>
      <c r="E28" s="256" t="s">
        <v>1</v>
      </c>
      <c r="F28" s="161"/>
      <c r="G28" s="161"/>
      <c r="H28" s="161"/>
      <c r="I28" s="161"/>
      <c r="J28" s="161"/>
      <c r="K28" s="161"/>
      <c r="L28" s="161"/>
    </row>
    <row r="29" spans="1:12" x14ac:dyDescent="0.25">
      <c r="B29" s="218" t="s">
        <v>294</v>
      </c>
      <c r="C29" s="97"/>
      <c r="D29" s="148">
        <v>150</v>
      </c>
      <c r="E29" s="161" t="s">
        <v>1</v>
      </c>
    </row>
    <row r="30" spans="1:12" s="87" customFormat="1" x14ac:dyDescent="0.25">
      <c r="B30" s="218" t="s">
        <v>297</v>
      </c>
      <c r="C30" s="97"/>
      <c r="D30" s="148">
        <v>1000</v>
      </c>
      <c r="E30" s="161" t="s">
        <v>298</v>
      </c>
    </row>
    <row r="31" spans="1:12" x14ac:dyDescent="0.25">
      <c r="B31" s="10" t="s">
        <v>295</v>
      </c>
      <c r="C31" s="10"/>
      <c r="D31" s="263" t="s">
        <v>296</v>
      </c>
      <c r="E31" s="10"/>
      <c r="F31" s="10"/>
      <c r="G31" s="10"/>
      <c r="H31" s="10"/>
      <c r="I31" s="10"/>
      <c r="J31" s="10"/>
      <c r="K31" s="10"/>
      <c r="L31" s="10"/>
    </row>
  </sheetData>
  <sheetProtection algorithmName="SHA-512" hashValue="tzdxqRWp6D0totGE/DpT2BJTztCYe+bxlVdzWsQVwaWt+VkfXr7HsB6gZJj3ydkGtOK504hTbYrEJrxvCQs45Q==" saltValue="GvVFTqgcfW2K0ZAEqf1eaQ==" spinCount="100000" sheet="1" objects="1" scenarios="1"/>
  <mergeCells count="3">
    <mergeCell ref="G4:L4"/>
    <mergeCell ref="B6:L6"/>
    <mergeCell ref="B16:L16"/>
  </mergeCells>
  <pageMargins left="0.7" right="0.7" top="0.205416666666667" bottom="0.45333333333333298" header="0.3" footer="0.3"/>
  <pageSetup scale="59" fitToHeight="2" orientation="portrait" r:id="rId1"/>
  <headerFooter>
    <oddHeader xml:space="preserve">&amp;L
&amp;R       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6780B-8B46-4458-9DB7-28B1E00EB9B0}">
  <dimension ref="A1"/>
  <sheetViews>
    <sheetView workbookViewId="0"/>
  </sheetViews>
  <sheetFormatPr defaultRowHeight="15" x14ac:dyDescent="0.25"/>
  <sheetData/>
  <sheetProtection algorithmName="SHA-512" hashValue="NLUs6VVyJ36W4/EJo6/NAu6uxpUzQDHbItxyiwjZt4eDQd9+m60NuTFKTvBVcZcKg3kXNS3f6ZSTfWVVbxdg7A==" saltValue="aan9NyQSVslQjZo0dDSgDw==" spinCount="100000"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9</vt:i4>
      </vt:variant>
    </vt:vector>
  </HeadingPairs>
  <TitlesOfParts>
    <vt:vector size="15" baseType="lpstr">
      <vt:lpstr>Notch Filter Design</vt:lpstr>
      <vt:lpstr>High-Pass Filter Design</vt:lpstr>
      <vt:lpstr>C-High-Pass Filter Design</vt:lpstr>
      <vt:lpstr>Notch Filter Delta Connection</vt:lpstr>
      <vt:lpstr>Shunt Reactor</vt:lpstr>
      <vt:lpstr>All PowerFactory Filters</vt:lpstr>
      <vt:lpstr>'Notch Filter Design'!capacitordutyrating</vt:lpstr>
      <vt:lpstr>'Notch Filter Design'!filterimpedance</vt:lpstr>
      <vt:lpstr>filterimpedancechp</vt:lpstr>
      <vt:lpstr>filterimpedancehp</vt:lpstr>
      <vt:lpstr>'C-High-Pass Filter Design'!Print_Area</vt:lpstr>
      <vt:lpstr>'High-Pass Filter Design'!Print_Area</vt:lpstr>
      <vt:lpstr>'Notch Filter Delta Connection'!Print_Area</vt:lpstr>
      <vt:lpstr>'Notch Filter Design'!Print_Area</vt:lpstr>
      <vt:lpstr>'Shunt Reactor'!Print_Area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Steciuk</dc:creator>
  <cp:lastModifiedBy>Paul</cp:lastModifiedBy>
  <cp:lastPrinted>2021-06-23T20:31:30Z</cp:lastPrinted>
  <dcterms:created xsi:type="dcterms:W3CDTF">2013-02-25T18:15:00Z</dcterms:created>
  <dcterms:modified xsi:type="dcterms:W3CDTF">2021-12-01T14:32:36Z</dcterms:modified>
</cp:coreProperties>
</file>